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13"/>
  <workbookPr defaultThemeVersion="166925"/>
  <mc:AlternateContent xmlns:mc="http://schemas.openxmlformats.org/markup-compatibility/2006">
    <mc:Choice Requires="x15">
      <x15ac:absPath xmlns:x15ac="http://schemas.microsoft.com/office/spreadsheetml/2010/11/ac" url="C:\Users\mvanderkooy\Desktop\2020-08-31\01b - Mass Loading Files\"/>
    </mc:Choice>
  </mc:AlternateContent>
  <xr:revisionPtr revIDLastSave="0" documentId="8_{0E848830-D8D0-4149-BEC9-F9FAE8201FAB}" xr6:coauthVersionLast="45" xr6:coauthVersionMax="45" xr10:uidLastSave="{00000000-0000-0000-0000-000000000000}"/>
  <bookViews>
    <workbookView xWindow="-120" yWindow="-120" windowWidth="25440" windowHeight="15390" tabRatio="879" xr2:uid="{79328E4D-729C-4BE2-98AA-B59E15B3ACF2}"/>
  </bookViews>
  <sheets>
    <sheet name="ReadMe" sheetId="28" r:id="rId1"/>
    <sheet name="Summary" sheetId="1" r:id="rId2"/>
    <sheet name="Georgia Branch Creek" sheetId="17" r:id="rId3"/>
    <sheet name="Total Table 3+ Data" sheetId="24" r:id="rId4"/>
    <sheet name="WOHuske" sheetId="23" r:id="rId5"/>
    <sheet name="Willis Creek" sheetId="16" r:id="rId6"/>
    <sheet name="Direct Aerial Deposition" sheetId="39" r:id="rId7"/>
    <sheet name="Outfall 002" sheetId="12" r:id="rId8"/>
    <sheet name="Chemours Intake" sheetId="15" r:id="rId9"/>
    <sheet name="Onsite GW Summary" sheetId="25" r:id="rId10"/>
    <sheet name="Onsite GW HCond" sheetId="29" r:id="rId11"/>
    <sheet name="Onsite GW Flow" sheetId="31" r:id="rId12"/>
    <sheet name="Seep A" sheetId="2" r:id="rId13"/>
    <sheet name="Seep B" sheetId="6" r:id="rId14"/>
    <sheet name="Seep C" sheetId="7" r:id="rId15"/>
    <sheet name="Seep D" sheetId="8" r:id="rId16"/>
    <sheet name="Old Outfall" sheetId="9" r:id="rId17"/>
    <sheet name="AdjDownstreamOffsiteGW" sheetId="37" r:id="rId18"/>
    <sheet name="CFLockDam1-Kelly" sheetId="22" r:id="rId19"/>
    <sheet name="Travel Times Model" sheetId="33" r:id="rId20"/>
    <sheet name="Adjusted River Flows" sheetId="35" r:id="rId21"/>
  </sheets>
  <externalReferences>
    <externalReference r:id="rId22"/>
  </externalReferences>
  <definedNames>
    <definedName name="_xlnm._FilterDatabase" localSheetId="3" hidden="1">'Total Table 3+ Data'!$A$2:$I$40</definedName>
    <definedName name="_Ref46669108" localSheetId="17">AdjDownstreamOffsiteGW!$B$20</definedName>
    <definedName name="CASN">#REF!</definedName>
    <definedName name="Chemical_Formula">'[1]PFAS List'!#REF!</definedName>
    <definedName name="Chemical_Name">'[1]PFAS List'!#REF!</definedName>
    <definedName name="Common_Name">#REF!</definedName>
    <definedName name="dbo_USGS_CapeFear_Rainfall_Data" localSheetId="20">#REF!</definedName>
    <definedName name="dbo_USGS_CapeFear_Rainfall_Data" localSheetId="18">#REF!</definedName>
    <definedName name="dbo_USGS_CapeFear_Rainfall_Data" localSheetId="11">#REF!</definedName>
    <definedName name="dbo_USGS_CapeFear_Rainfall_Data" localSheetId="10">#REF!</definedName>
    <definedName name="dbo_USGS_CapeFear_Rainfall_Data" localSheetId="19">#REF!</definedName>
    <definedName name="dbo_USGS_CapeFear_Rainfall_Data">#REF!</definedName>
    <definedName name="_xlnm.Print_Area" localSheetId="17">AdjDownstreamOffsiteGW!$A$1:$E$38</definedName>
    <definedName name="_xlnm.Print_Area" localSheetId="20">'Adjusted River Flows'!$A$1:$G$19</definedName>
    <definedName name="_xlnm.Print_Area" localSheetId="2">'Georgia Branch Creek'!$A$1:$H$37</definedName>
    <definedName name="_xlnm.Print_Area" localSheetId="11">'Onsite GW Flow'!$A$1:$I$18</definedName>
    <definedName name="_xlnm.Print_Area" localSheetId="10">'Onsite GW HCond'!$A$2:$F$57</definedName>
    <definedName name="_xlnm.Print_Area" localSheetId="9">'Onsite GW Summary'!$A$1:$U$24</definedName>
    <definedName name="_xlnm.Print_Area" localSheetId="5">'Willis Creek'!$A$1:$G$41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3" i="39" l="1"/>
  <c r="F112" i="39"/>
  <c r="B105" i="39"/>
  <c r="M33" i="23" l="1"/>
  <c r="H21" i="17" l="1"/>
  <c r="J9" i="1" l="1"/>
  <c r="J5" i="1"/>
  <c r="O7" i="29"/>
  <c r="K5" i="25" l="1"/>
  <c r="K6" i="25"/>
  <c r="K7" i="25"/>
  <c r="K8" i="25"/>
  <c r="K9" i="25"/>
  <c r="K11" i="25"/>
  <c r="K12" i="25"/>
  <c r="K3" i="25"/>
  <c r="N3" i="25"/>
  <c r="N4" i="25"/>
  <c r="N5" i="25"/>
  <c r="N6" i="25"/>
  <c r="N7" i="25"/>
  <c r="N8" i="25"/>
  <c r="N9" i="25"/>
  <c r="N10" i="25"/>
  <c r="N11" i="25"/>
  <c r="N12" i="25"/>
  <c r="H158" i="39" l="1"/>
  <c r="I158" i="39" s="1"/>
  <c r="Q148" i="39"/>
  <c r="P148" i="39"/>
  <c r="O148" i="39"/>
  <c r="N148" i="39"/>
  <c r="M148" i="39"/>
  <c r="L148" i="39"/>
  <c r="K148" i="39"/>
  <c r="J148" i="39"/>
  <c r="I148" i="39"/>
  <c r="H148" i="39"/>
  <c r="G148" i="39"/>
  <c r="F148" i="39"/>
  <c r="E148" i="39"/>
  <c r="D148" i="39"/>
  <c r="C148" i="39"/>
  <c r="B148" i="39"/>
  <c r="Q147" i="39"/>
  <c r="P147" i="39"/>
  <c r="O147" i="39"/>
  <c r="N147" i="39"/>
  <c r="M147" i="39"/>
  <c r="L147" i="39"/>
  <c r="K147" i="39"/>
  <c r="J147" i="39"/>
  <c r="I147" i="39"/>
  <c r="H147" i="39"/>
  <c r="G147" i="39"/>
  <c r="F147" i="39"/>
  <c r="E147" i="39"/>
  <c r="D147" i="39"/>
  <c r="C147" i="39"/>
  <c r="B147" i="39"/>
  <c r="C158" i="39"/>
  <c r="B158" i="39"/>
  <c r="C157" i="39"/>
  <c r="B157" i="39"/>
  <c r="C156" i="39"/>
  <c r="B156" i="39"/>
  <c r="C155" i="39"/>
  <c r="B155" i="39"/>
  <c r="C154" i="39"/>
  <c r="B154" i="39"/>
  <c r="D10" i="39"/>
  <c r="B10" i="39"/>
  <c r="D9" i="39"/>
  <c r="B9" i="39"/>
  <c r="D8" i="39"/>
  <c r="B8" i="39"/>
  <c r="D7" i="39"/>
  <c r="B7" i="39"/>
  <c r="D6" i="39"/>
  <c r="B6" i="39"/>
  <c r="G113" i="39"/>
  <c r="E113" i="39"/>
  <c r="D5" i="39"/>
  <c r="B5" i="39"/>
  <c r="G112" i="39"/>
  <c r="I112" i="39"/>
  <c r="J112" i="39" s="1"/>
  <c r="E112" i="39"/>
  <c r="D4" i="39"/>
  <c r="B4" i="39"/>
  <c r="E4" i="39" s="1"/>
  <c r="I113" i="39" l="1"/>
  <c r="J113" i="39" s="1"/>
  <c r="J114" i="39" s="1"/>
  <c r="E10" i="39"/>
  <c r="E9" i="39"/>
  <c r="E5" i="39"/>
  <c r="D158" i="39" s="1"/>
  <c r="B149" i="39"/>
  <c r="B150" i="39"/>
  <c r="E6" i="39"/>
  <c r="E154" i="39" s="1"/>
  <c r="E7" i="39"/>
  <c r="E8" i="39"/>
  <c r="E156" i="39"/>
  <c r="E158" i="39"/>
  <c r="H155" i="39"/>
  <c r="I155" i="39" s="1"/>
  <c r="H157" i="39"/>
  <c r="I157" i="39" s="1"/>
  <c r="H154" i="39"/>
  <c r="I154" i="39" s="1"/>
  <c r="H156" i="39"/>
  <c r="I156" i="39" s="1"/>
  <c r="E157" i="39" l="1"/>
  <c r="E155" i="39"/>
  <c r="F158" i="39"/>
  <c r="D157" i="39"/>
  <c r="D156" i="39"/>
  <c r="F156" i="39" s="1"/>
  <c r="D154" i="39"/>
  <c r="F154" i="39" s="1"/>
  <c r="D155" i="39"/>
  <c r="J157" i="39"/>
  <c r="K157" i="39" s="1"/>
  <c r="L157" i="39" s="1"/>
  <c r="J158" i="39"/>
  <c r="K158" i="39" s="1"/>
  <c r="L158" i="39" s="1"/>
  <c r="J155" i="39"/>
  <c r="K155" i="39" s="1"/>
  <c r="L155" i="39" s="1"/>
  <c r="J156" i="39"/>
  <c r="K156" i="39" s="1"/>
  <c r="L156" i="39" s="1"/>
  <c r="J154" i="39"/>
  <c r="K154" i="39" s="1"/>
  <c r="L154" i="39" s="1"/>
  <c r="F157" i="39" l="1"/>
  <c r="F155" i="39"/>
  <c r="M155" i="39" s="1"/>
  <c r="N155" i="39" s="1"/>
  <c r="M154" i="39"/>
  <c r="N154" i="39" s="1"/>
  <c r="M158" i="39"/>
  <c r="N158" i="39" s="1"/>
  <c r="M157" i="39"/>
  <c r="N157" i="39" s="1"/>
  <c r="M156" i="39"/>
  <c r="N156" i="39" s="1"/>
  <c r="N159" i="39" l="1"/>
  <c r="N160" i="39" s="1"/>
  <c r="K8" i="1" s="1"/>
  <c r="N161" i="39" l="1"/>
  <c r="O8" i="1" s="1"/>
  <c r="C7" i="37"/>
  <c r="K17" i="1" l="1"/>
  <c r="B3" i="37"/>
  <c r="N22" i="1"/>
  <c r="O22" i="1" s="1"/>
  <c r="J22" i="1"/>
  <c r="K22" i="1" s="1"/>
  <c r="I22" i="1"/>
  <c r="E8" i="35"/>
  <c r="E7" i="35"/>
  <c r="E6" i="35"/>
  <c r="E5" i="35"/>
  <c r="E4" i="35"/>
  <c r="C12" i="33" l="1"/>
  <c r="C11" i="33"/>
  <c r="C10" i="33"/>
  <c r="C9" i="33"/>
  <c r="C8" i="33"/>
  <c r="C7" i="33"/>
  <c r="C6" i="33"/>
  <c r="C5" i="33"/>
  <c r="C4" i="33"/>
  <c r="C3" i="33"/>
  <c r="L7" i="25" l="1"/>
  <c r="D6" i="31" s="1"/>
  <c r="O3" i="29"/>
  <c r="F52" i="29"/>
  <c r="E52" i="29"/>
  <c r="F46" i="29"/>
  <c r="E46" i="29"/>
  <c r="F41" i="29"/>
  <c r="E41" i="29"/>
  <c r="F31" i="29"/>
  <c r="E31" i="29"/>
  <c r="F21" i="29"/>
  <c r="E21" i="29"/>
  <c r="P11" i="29"/>
  <c r="M11" i="25" s="1"/>
  <c r="E9" i="31" s="1"/>
  <c r="O11" i="29"/>
  <c r="L11" i="25" s="1"/>
  <c r="D9" i="31" s="1"/>
  <c r="F11" i="29"/>
  <c r="E11" i="29"/>
  <c r="P10" i="29"/>
  <c r="M12" i="25" s="1"/>
  <c r="E10" i="31" s="1"/>
  <c r="O10" i="29"/>
  <c r="L12" i="25" s="1"/>
  <c r="D10" i="31" s="1"/>
  <c r="N10" i="29"/>
  <c r="P9" i="29"/>
  <c r="M9" i="25" s="1"/>
  <c r="E8" i="31" s="1"/>
  <c r="O9" i="29"/>
  <c r="L9" i="25" s="1"/>
  <c r="D8" i="31" s="1"/>
  <c r="N9" i="29"/>
  <c r="P8" i="29"/>
  <c r="M8" i="25" s="1"/>
  <c r="E7" i="31" s="1"/>
  <c r="O8" i="29"/>
  <c r="L8" i="25" s="1"/>
  <c r="D7" i="31" s="1"/>
  <c r="N8" i="29"/>
  <c r="P7" i="29"/>
  <c r="M7" i="25" s="1"/>
  <c r="E6" i="31" s="1"/>
  <c r="P6" i="29"/>
  <c r="M6" i="25" s="1"/>
  <c r="E5" i="31" s="1"/>
  <c r="O6" i="29"/>
  <c r="L6" i="25" s="1"/>
  <c r="D5" i="31" s="1"/>
  <c r="P5" i="29"/>
  <c r="M5" i="25" s="1"/>
  <c r="E4" i="31" s="1"/>
  <c r="O5" i="29"/>
  <c r="L5" i="25" s="1"/>
  <c r="D4" i="31" s="1"/>
  <c r="N5" i="29"/>
  <c r="P4" i="29"/>
  <c r="M3" i="25" s="1"/>
  <c r="E3" i="31" s="1"/>
  <c r="O4" i="29"/>
  <c r="L3" i="25" s="1"/>
  <c r="D3" i="31" s="1"/>
  <c r="N4" i="29"/>
  <c r="P3" i="29"/>
  <c r="F3" i="29"/>
  <c r="E3" i="29"/>
  <c r="H3" i="25"/>
  <c r="N5" i="1" l="1"/>
  <c r="N9" i="1" s="1"/>
  <c r="O12" i="25" l="1"/>
  <c r="O11" i="25"/>
  <c r="O8" i="25"/>
  <c r="O7" i="25"/>
  <c r="O6" i="25"/>
  <c r="O5" i="25"/>
  <c r="R3" i="25"/>
  <c r="R4" i="25"/>
  <c r="R5" i="25"/>
  <c r="S5" i="25" s="1"/>
  <c r="R6" i="25"/>
  <c r="S6" i="25" s="1"/>
  <c r="R7" i="25"/>
  <c r="S7" i="25" s="1"/>
  <c r="R8" i="25"/>
  <c r="S8" i="25" s="1"/>
  <c r="R9" i="25"/>
  <c r="R10" i="25"/>
  <c r="R11" i="25"/>
  <c r="S11" i="25" s="1"/>
  <c r="R12" i="25"/>
  <c r="S12" i="25" s="1"/>
  <c r="C12" i="25"/>
  <c r="C11" i="25"/>
  <c r="C10" i="25"/>
  <c r="C9" i="25"/>
  <c r="C8" i="25"/>
  <c r="C7" i="25"/>
  <c r="C6" i="25"/>
  <c r="C5" i="25"/>
  <c r="C4" i="25"/>
  <c r="C3" i="25"/>
  <c r="E3" i="25"/>
  <c r="G3" i="25"/>
  <c r="B3" i="31" s="1"/>
  <c r="E5" i="25"/>
  <c r="G5" i="25"/>
  <c r="B4" i="31" s="1"/>
  <c r="H5" i="25"/>
  <c r="E6" i="25"/>
  <c r="G6" i="25"/>
  <c r="B5" i="31" s="1"/>
  <c r="H6" i="25"/>
  <c r="E7" i="25"/>
  <c r="G7" i="25"/>
  <c r="B6" i="31" s="1"/>
  <c r="H7" i="25"/>
  <c r="E8" i="25"/>
  <c r="G8" i="25"/>
  <c r="B7" i="31" s="1"/>
  <c r="H8" i="25"/>
  <c r="E9" i="25"/>
  <c r="G9" i="25"/>
  <c r="B8" i="31" s="1"/>
  <c r="H9" i="25"/>
  <c r="E11" i="25"/>
  <c r="G11" i="25"/>
  <c r="B9" i="31" s="1"/>
  <c r="E12" i="25"/>
  <c r="G12" i="25"/>
  <c r="B10" i="31" s="1"/>
  <c r="H12" i="25"/>
  <c r="O17" i="1"/>
  <c r="N24" i="1"/>
  <c r="J24" i="1"/>
  <c r="I24" i="1"/>
  <c r="N23" i="1"/>
  <c r="N21" i="1"/>
  <c r="N18" i="1"/>
  <c r="N16" i="1"/>
  <c r="N15" i="1"/>
  <c r="N14" i="1"/>
  <c r="N13" i="1"/>
  <c r="N12" i="1"/>
  <c r="N7" i="1"/>
  <c r="J23" i="1"/>
  <c r="J21" i="1"/>
  <c r="J18" i="1"/>
  <c r="J16" i="1"/>
  <c r="J15" i="1"/>
  <c r="J14" i="1"/>
  <c r="J13" i="1"/>
  <c r="J12" i="1"/>
  <c r="J7" i="1"/>
  <c r="I23" i="1"/>
  <c r="M128" i="23"/>
  <c r="M224" i="23"/>
  <c r="M227" i="23"/>
  <c r="M320" i="23"/>
  <c r="M347" i="23"/>
  <c r="M416" i="23"/>
  <c r="L34" i="23"/>
  <c r="M34" i="23" s="1"/>
  <c r="L35" i="23"/>
  <c r="M35" i="23" s="1"/>
  <c r="L36" i="23"/>
  <c r="M36" i="23" s="1"/>
  <c r="L37" i="23"/>
  <c r="M37" i="23" s="1"/>
  <c r="L38" i="23"/>
  <c r="M38" i="23" s="1"/>
  <c r="L39" i="23"/>
  <c r="M39" i="23" s="1"/>
  <c r="L40" i="23"/>
  <c r="M40" i="23" s="1"/>
  <c r="L41" i="23"/>
  <c r="M41" i="23" s="1"/>
  <c r="L42" i="23"/>
  <c r="M42" i="23" s="1"/>
  <c r="L43" i="23"/>
  <c r="M43" i="23" s="1"/>
  <c r="L44" i="23"/>
  <c r="M44" i="23" s="1"/>
  <c r="L45" i="23"/>
  <c r="M45" i="23" s="1"/>
  <c r="L46" i="23"/>
  <c r="M46" i="23" s="1"/>
  <c r="L47" i="23"/>
  <c r="M47" i="23" s="1"/>
  <c r="L48" i="23"/>
  <c r="M48" i="23" s="1"/>
  <c r="L49" i="23"/>
  <c r="M49" i="23" s="1"/>
  <c r="L50" i="23"/>
  <c r="M50" i="23" s="1"/>
  <c r="L51" i="23"/>
  <c r="M51" i="23" s="1"/>
  <c r="L52" i="23"/>
  <c r="M52" i="23" s="1"/>
  <c r="L53" i="23"/>
  <c r="M53" i="23" s="1"/>
  <c r="L54" i="23"/>
  <c r="M54" i="23" s="1"/>
  <c r="L55" i="23"/>
  <c r="M55" i="23" s="1"/>
  <c r="L56" i="23"/>
  <c r="M56" i="23" s="1"/>
  <c r="L57" i="23"/>
  <c r="M57" i="23" s="1"/>
  <c r="L58" i="23"/>
  <c r="M58" i="23" s="1"/>
  <c r="L59" i="23"/>
  <c r="M59" i="23" s="1"/>
  <c r="L60" i="23"/>
  <c r="M60" i="23" s="1"/>
  <c r="L61" i="23"/>
  <c r="M61" i="23" s="1"/>
  <c r="L62" i="23"/>
  <c r="M62" i="23" s="1"/>
  <c r="L63" i="23"/>
  <c r="M63" i="23" s="1"/>
  <c r="L64" i="23"/>
  <c r="M64" i="23" s="1"/>
  <c r="L65" i="23"/>
  <c r="M65" i="23" s="1"/>
  <c r="L66" i="23"/>
  <c r="M66" i="23" s="1"/>
  <c r="L67" i="23"/>
  <c r="M67" i="23" s="1"/>
  <c r="L68" i="23"/>
  <c r="M68" i="23" s="1"/>
  <c r="L69" i="23"/>
  <c r="M69" i="23" s="1"/>
  <c r="L70" i="23"/>
  <c r="M70" i="23" s="1"/>
  <c r="L71" i="23"/>
  <c r="M71" i="23" s="1"/>
  <c r="L72" i="23"/>
  <c r="M72" i="23" s="1"/>
  <c r="L73" i="23"/>
  <c r="M73" i="23" s="1"/>
  <c r="L74" i="23"/>
  <c r="M74" i="23" s="1"/>
  <c r="L75" i="23"/>
  <c r="M75" i="23" s="1"/>
  <c r="L76" i="23"/>
  <c r="M76" i="23" s="1"/>
  <c r="L77" i="23"/>
  <c r="M77" i="23" s="1"/>
  <c r="L78" i="23"/>
  <c r="M78" i="23" s="1"/>
  <c r="L79" i="23"/>
  <c r="M79" i="23" s="1"/>
  <c r="L80" i="23"/>
  <c r="M80" i="23" s="1"/>
  <c r="L81" i="23"/>
  <c r="M81" i="23" s="1"/>
  <c r="L82" i="23"/>
  <c r="M82" i="23" s="1"/>
  <c r="L83" i="23"/>
  <c r="M83" i="23" s="1"/>
  <c r="L84" i="23"/>
  <c r="M84" i="23" s="1"/>
  <c r="L85" i="23"/>
  <c r="M85" i="23" s="1"/>
  <c r="L86" i="23"/>
  <c r="M86" i="23" s="1"/>
  <c r="L87" i="23"/>
  <c r="M87" i="23" s="1"/>
  <c r="L88" i="23"/>
  <c r="M88" i="23" s="1"/>
  <c r="L89" i="23"/>
  <c r="M89" i="23" s="1"/>
  <c r="L90" i="23"/>
  <c r="M90" i="23" s="1"/>
  <c r="L91" i="23"/>
  <c r="M91" i="23" s="1"/>
  <c r="L92" i="23"/>
  <c r="M92" i="23" s="1"/>
  <c r="L93" i="23"/>
  <c r="M93" i="23" s="1"/>
  <c r="L94" i="23"/>
  <c r="M94" i="23" s="1"/>
  <c r="L95" i="23"/>
  <c r="M95" i="23" s="1"/>
  <c r="L96" i="23"/>
  <c r="M96" i="23" s="1"/>
  <c r="L97" i="23"/>
  <c r="M97" i="23" s="1"/>
  <c r="L98" i="23"/>
  <c r="M98" i="23" s="1"/>
  <c r="L99" i="23"/>
  <c r="M99" i="23" s="1"/>
  <c r="L100" i="23"/>
  <c r="M100" i="23" s="1"/>
  <c r="L101" i="23"/>
  <c r="M101" i="23" s="1"/>
  <c r="L102" i="23"/>
  <c r="M102" i="23" s="1"/>
  <c r="L103" i="23"/>
  <c r="M103" i="23" s="1"/>
  <c r="L104" i="23"/>
  <c r="M104" i="23" s="1"/>
  <c r="L105" i="23"/>
  <c r="M105" i="23" s="1"/>
  <c r="L106" i="23"/>
  <c r="M106" i="23" s="1"/>
  <c r="L107" i="23"/>
  <c r="M107" i="23" s="1"/>
  <c r="L108" i="23"/>
  <c r="M108" i="23" s="1"/>
  <c r="L109" i="23"/>
  <c r="M109" i="23" s="1"/>
  <c r="L110" i="23"/>
  <c r="M110" i="23" s="1"/>
  <c r="L111" i="23"/>
  <c r="M111" i="23" s="1"/>
  <c r="L112" i="23"/>
  <c r="M112" i="23" s="1"/>
  <c r="L113" i="23"/>
  <c r="M113" i="23" s="1"/>
  <c r="L114" i="23"/>
  <c r="M114" i="23" s="1"/>
  <c r="L115" i="23"/>
  <c r="M115" i="23" s="1"/>
  <c r="L116" i="23"/>
  <c r="M116" i="23" s="1"/>
  <c r="L117" i="23"/>
  <c r="M117" i="23" s="1"/>
  <c r="L118" i="23"/>
  <c r="M118" i="23" s="1"/>
  <c r="L119" i="23"/>
  <c r="M119" i="23" s="1"/>
  <c r="L120" i="23"/>
  <c r="M120" i="23" s="1"/>
  <c r="L121" i="23"/>
  <c r="M121" i="23" s="1"/>
  <c r="L122" i="23"/>
  <c r="M122" i="23" s="1"/>
  <c r="L123" i="23"/>
  <c r="M123" i="23" s="1"/>
  <c r="L124" i="23"/>
  <c r="M124" i="23" s="1"/>
  <c r="L125" i="23"/>
  <c r="M125" i="23" s="1"/>
  <c r="L126" i="23"/>
  <c r="M126" i="23" s="1"/>
  <c r="L127" i="23"/>
  <c r="M127" i="23" s="1"/>
  <c r="L129" i="23"/>
  <c r="M129" i="23" s="1"/>
  <c r="L130" i="23"/>
  <c r="M130" i="23" s="1"/>
  <c r="L131" i="23"/>
  <c r="M131" i="23" s="1"/>
  <c r="L132" i="23"/>
  <c r="M132" i="23" s="1"/>
  <c r="L133" i="23"/>
  <c r="M133" i="23" s="1"/>
  <c r="L134" i="23"/>
  <c r="M134" i="23" s="1"/>
  <c r="L135" i="23"/>
  <c r="M135" i="23" s="1"/>
  <c r="L136" i="23"/>
  <c r="M136" i="23" s="1"/>
  <c r="L137" i="23"/>
  <c r="M137" i="23" s="1"/>
  <c r="L138" i="23"/>
  <c r="M138" i="23" s="1"/>
  <c r="L139" i="23"/>
  <c r="M139" i="23" s="1"/>
  <c r="L140" i="23"/>
  <c r="M140" i="23" s="1"/>
  <c r="L141" i="23"/>
  <c r="M141" i="23" s="1"/>
  <c r="L142" i="23"/>
  <c r="M142" i="23" s="1"/>
  <c r="L143" i="23"/>
  <c r="M143" i="23" s="1"/>
  <c r="L144" i="23"/>
  <c r="M144" i="23" s="1"/>
  <c r="L145" i="23"/>
  <c r="M145" i="23" s="1"/>
  <c r="L146" i="23"/>
  <c r="M146" i="23" s="1"/>
  <c r="L147" i="23"/>
  <c r="M147" i="23" s="1"/>
  <c r="L148" i="23"/>
  <c r="M148" i="23" s="1"/>
  <c r="L149" i="23"/>
  <c r="M149" i="23" s="1"/>
  <c r="L150" i="23"/>
  <c r="M150" i="23" s="1"/>
  <c r="L151" i="23"/>
  <c r="M151" i="23" s="1"/>
  <c r="L152" i="23"/>
  <c r="M152" i="23" s="1"/>
  <c r="L153" i="23"/>
  <c r="M153" i="23" s="1"/>
  <c r="L154" i="23"/>
  <c r="M154" i="23" s="1"/>
  <c r="L155" i="23"/>
  <c r="M155" i="23" s="1"/>
  <c r="L156" i="23"/>
  <c r="M156" i="23" s="1"/>
  <c r="L157" i="23"/>
  <c r="M157" i="23" s="1"/>
  <c r="L158" i="23"/>
  <c r="M158" i="23" s="1"/>
  <c r="L159" i="23"/>
  <c r="M159" i="23" s="1"/>
  <c r="L160" i="23"/>
  <c r="M160" i="23" s="1"/>
  <c r="L161" i="23"/>
  <c r="M161" i="23" s="1"/>
  <c r="L162" i="23"/>
  <c r="M162" i="23" s="1"/>
  <c r="L163" i="23"/>
  <c r="M163" i="23" s="1"/>
  <c r="L164" i="23"/>
  <c r="M164" i="23" s="1"/>
  <c r="L165" i="23"/>
  <c r="M165" i="23" s="1"/>
  <c r="L166" i="23"/>
  <c r="M166" i="23" s="1"/>
  <c r="L167" i="23"/>
  <c r="M167" i="23" s="1"/>
  <c r="L168" i="23"/>
  <c r="M168" i="23" s="1"/>
  <c r="L169" i="23"/>
  <c r="M169" i="23" s="1"/>
  <c r="L170" i="23"/>
  <c r="M170" i="23" s="1"/>
  <c r="L171" i="23"/>
  <c r="M171" i="23" s="1"/>
  <c r="L172" i="23"/>
  <c r="M172" i="23" s="1"/>
  <c r="L173" i="23"/>
  <c r="M173" i="23" s="1"/>
  <c r="L174" i="23"/>
  <c r="M174" i="23" s="1"/>
  <c r="L175" i="23"/>
  <c r="M175" i="23" s="1"/>
  <c r="L176" i="23"/>
  <c r="M176" i="23" s="1"/>
  <c r="L177" i="23"/>
  <c r="M177" i="23" s="1"/>
  <c r="L178" i="23"/>
  <c r="M178" i="23" s="1"/>
  <c r="L179" i="23"/>
  <c r="M179" i="23" s="1"/>
  <c r="L180" i="23"/>
  <c r="M180" i="23" s="1"/>
  <c r="L181" i="23"/>
  <c r="M181" i="23" s="1"/>
  <c r="L182" i="23"/>
  <c r="M182" i="23" s="1"/>
  <c r="L183" i="23"/>
  <c r="M183" i="23" s="1"/>
  <c r="L184" i="23"/>
  <c r="M184" i="23" s="1"/>
  <c r="L185" i="23"/>
  <c r="M185" i="23" s="1"/>
  <c r="L186" i="23"/>
  <c r="M186" i="23" s="1"/>
  <c r="L187" i="23"/>
  <c r="M187" i="23" s="1"/>
  <c r="L188" i="23"/>
  <c r="M188" i="23" s="1"/>
  <c r="L189" i="23"/>
  <c r="M189" i="23" s="1"/>
  <c r="L190" i="23"/>
  <c r="M190" i="23" s="1"/>
  <c r="L191" i="23"/>
  <c r="M191" i="23" s="1"/>
  <c r="L192" i="23"/>
  <c r="M192" i="23" s="1"/>
  <c r="L193" i="23"/>
  <c r="M193" i="23" s="1"/>
  <c r="L194" i="23"/>
  <c r="M194" i="23" s="1"/>
  <c r="L195" i="23"/>
  <c r="M195" i="23" s="1"/>
  <c r="L196" i="23"/>
  <c r="M196" i="23" s="1"/>
  <c r="L197" i="23"/>
  <c r="M197" i="23" s="1"/>
  <c r="L198" i="23"/>
  <c r="M198" i="23" s="1"/>
  <c r="L199" i="23"/>
  <c r="M199" i="23" s="1"/>
  <c r="L200" i="23"/>
  <c r="M200" i="23" s="1"/>
  <c r="L201" i="23"/>
  <c r="M201" i="23" s="1"/>
  <c r="L202" i="23"/>
  <c r="M202" i="23" s="1"/>
  <c r="L203" i="23"/>
  <c r="M203" i="23" s="1"/>
  <c r="L204" i="23"/>
  <c r="M204" i="23" s="1"/>
  <c r="L205" i="23"/>
  <c r="M205" i="23" s="1"/>
  <c r="L206" i="23"/>
  <c r="M206" i="23" s="1"/>
  <c r="L207" i="23"/>
  <c r="M207" i="23" s="1"/>
  <c r="L208" i="23"/>
  <c r="M208" i="23" s="1"/>
  <c r="L209" i="23"/>
  <c r="M209" i="23" s="1"/>
  <c r="L210" i="23"/>
  <c r="M210" i="23" s="1"/>
  <c r="L211" i="23"/>
  <c r="M211" i="23" s="1"/>
  <c r="L212" i="23"/>
  <c r="M212" i="23" s="1"/>
  <c r="L213" i="23"/>
  <c r="M213" i="23" s="1"/>
  <c r="L214" i="23"/>
  <c r="M214" i="23" s="1"/>
  <c r="L215" i="23"/>
  <c r="M215" i="23" s="1"/>
  <c r="L216" i="23"/>
  <c r="M216" i="23" s="1"/>
  <c r="L217" i="23"/>
  <c r="M217" i="23" s="1"/>
  <c r="L218" i="23"/>
  <c r="M218" i="23" s="1"/>
  <c r="L219" i="23"/>
  <c r="M219" i="23" s="1"/>
  <c r="L220" i="23"/>
  <c r="M220" i="23" s="1"/>
  <c r="L221" i="23"/>
  <c r="M221" i="23" s="1"/>
  <c r="L222" i="23"/>
  <c r="M222" i="23" s="1"/>
  <c r="L223" i="23"/>
  <c r="M223" i="23" s="1"/>
  <c r="L225" i="23"/>
  <c r="M225" i="23" s="1"/>
  <c r="L226" i="23"/>
  <c r="M226" i="23" s="1"/>
  <c r="L227" i="23"/>
  <c r="L228" i="23"/>
  <c r="M228" i="23" s="1"/>
  <c r="L229" i="23"/>
  <c r="M229" i="23" s="1"/>
  <c r="L230" i="23"/>
  <c r="M230" i="23" s="1"/>
  <c r="L231" i="23"/>
  <c r="M231" i="23" s="1"/>
  <c r="L232" i="23"/>
  <c r="M232" i="23" s="1"/>
  <c r="L233" i="23"/>
  <c r="M233" i="23" s="1"/>
  <c r="L234" i="23"/>
  <c r="M234" i="23" s="1"/>
  <c r="L235" i="23"/>
  <c r="M235" i="23" s="1"/>
  <c r="L236" i="23"/>
  <c r="M236" i="23" s="1"/>
  <c r="L237" i="23"/>
  <c r="M237" i="23" s="1"/>
  <c r="L238" i="23"/>
  <c r="M238" i="23" s="1"/>
  <c r="L239" i="23"/>
  <c r="M239" i="23" s="1"/>
  <c r="L240" i="23"/>
  <c r="M240" i="23" s="1"/>
  <c r="L241" i="23"/>
  <c r="M241" i="23" s="1"/>
  <c r="L242" i="23"/>
  <c r="M242" i="23" s="1"/>
  <c r="L243" i="23"/>
  <c r="M243" i="23" s="1"/>
  <c r="L244" i="23"/>
  <c r="M244" i="23" s="1"/>
  <c r="L245" i="23"/>
  <c r="M245" i="23" s="1"/>
  <c r="L246" i="23"/>
  <c r="M246" i="23" s="1"/>
  <c r="L247" i="23"/>
  <c r="M247" i="23" s="1"/>
  <c r="L248" i="23"/>
  <c r="M248" i="23" s="1"/>
  <c r="L249" i="23"/>
  <c r="M249" i="23" s="1"/>
  <c r="L250" i="23"/>
  <c r="M250" i="23" s="1"/>
  <c r="L251" i="23"/>
  <c r="M251" i="23" s="1"/>
  <c r="L252" i="23"/>
  <c r="M252" i="23" s="1"/>
  <c r="L253" i="23"/>
  <c r="M253" i="23" s="1"/>
  <c r="L254" i="23"/>
  <c r="M254" i="23" s="1"/>
  <c r="L255" i="23"/>
  <c r="M255" i="23" s="1"/>
  <c r="L256" i="23"/>
  <c r="M256" i="23" s="1"/>
  <c r="L257" i="23"/>
  <c r="M257" i="23" s="1"/>
  <c r="L258" i="23"/>
  <c r="M258" i="23" s="1"/>
  <c r="L259" i="23"/>
  <c r="M259" i="23" s="1"/>
  <c r="L260" i="23"/>
  <c r="M260" i="23" s="1"/>
  <c r="L261" i="23"/>
  <c r="M261" i="23" s="1"/>
  <c r="L262" i="23"/>
  <c r="M262" i="23" s="1"/>
  <c r="L263" i="23"/>
  <c r="M263" i="23" s="1"/>
  <c r="L264" i="23"/>
  <c r="M264" i="23" s="1"/>
  <c r="L265" i="23"/>
  <c r="M265" i="23" s="1"/>
  <c r="L266" i="23"/>
  <c r="M266" i="23" s="1"/>
  <c r="L267" i="23"/>
  <c r="M267" i="23" s="1"/>
  <c r="L268" i="23"/>
  <c r="M268" i="23" s="1"/>
  <c r="L269" i="23"/>
  <c r="M269" i="23" s="1"/>
  <c r="L270" i="23"/>
  <c r="M270" i="23" s="1"/>
  <c r="L271" i="23"/>
  <c r="M271" i="23" s="1"/>
  <c r="L272" i="23"/>
  <c r="M272" i="23" s="1"/>
  <c r="L273" i="23"/>
  <c r="M273" i="23" s="1"/>
  <c r="L274" i="23"/>
  <c r="M274" i="23" s="1"/>
  <c r="L275" i="23"/>
  <c r="M275" i="23" s="1"/>
  <c r="L276" i="23"/>
  <c r="M276" i="23" s="1"/>
  <c r="L277" i="23"/>
  <c r="M277" i="23" s="1"/>
  <c r="L278" i="23"/>
  <c r="M278" i="23" s="1"/>
  <c r="L279" i="23"/>
  <c r="M279" i="23" s="1"/>
  <c r="L280" i="23"/>
  <c r="M280" i="23" s="1"/>
  <c r="L281" i="23"/>
  <c r="M281" i="23" s="1"/>
  <c r="L282" i="23"/>
  <c r="M282" i="23" s="1"/>
  <c r="L283" i="23"/>
  <c r="M283" i="23" s="1"/>
  <c r="L284" i="23"/>
  <c r="M284" i="23" s="1"/>
  <c r="L285" i="23"/>
  <c r="M285" i="23" s="1"/>
  <c r="L286" i="23"/>
  <c r="M286" i="23" s="1"/>
  <c r="L287" i="23"/>
  <c r="M287" i="23" s="1"/>
  <c r="L288" i="23"/>
  <c r="M288" i="23" s="1"/>
  <c r="L289" i="23"/>
  <c r="M289" i="23" s="1"/>
  <c r="L290" i="23"/>
  <c r="M290" i="23" s="1"/>
  <c r="L291" i="23"/>
  <c r="M291" i="23" s="1"/>
  <c r="L292" i="23"/>
  <c r="M292" i="23" s="1"/>
  <c r="L293" i="23"/>
  <c r="M293" i="23" s="1"/>
  <c r="L294" i="23"/>
  <c r="M294" i="23" s="1"/>
  <c r="L295" i="23"/>
  <c r="M295" i="23" s="1"/>
  <c r="L296" i="23"/>
  <c r="M296" i="23" s="1"/>
  <c r="L297" i="23"/>
  <c r="M297" i="23" s="1"/>
  <c r="L298" i="23"/>
  <c r="M298" i="23" s="1"/>
  <c r="L299" i="23"/>
  <c r="M299" i="23" s="1"/>
  <c r="L300" i="23"/>
  <c r="M300" i="23" s="1"/>
  <c r="L301" i="23"/>
  <c r="M301" i="23" s="1"/>
  <c r="L302" i="23"/>
  <c r="M302" i="23" s="1"/>
  <c r="L303" i="23"/>
  <c r="M303" i="23" s="1"/>
  <c r="L304" i="23"/>
  <c r="M304" i="23" s="1"/>
  <c r="L305" i="23"/>
  <c r="M305" i="23" s="1"/>
  <c r="L306" i="23"/>
  <c r="M306" i="23" s="1"/>
  <c r="L307" i="23"/>
  <c r="M307" i="23" s="1"/>
  <c r="L308" i="23"/>
  <c r="M308" i="23" s="1"/>
  <c r="L309" i="23"/>
  <c r="M309" i="23" s="1"/>
  <c r="L310" i="23"/>
  <c r="M310" i="23" s="1"/>
  <c r="L311" i="23"/>
  <c r="M311" i="23" s="1"/>
  <c r="L312" i="23"/>
  <c r="M312" i="23" s="1"/>
  <c r="L313" i="23"/>
  <c r="M313" i="23" s="1"/>
  <c r="L314" i="23"/>
  <c r="M314" i="23" s="1"/>
  <c r="L315" i="23"/>
  <c r="M315" i="23" s="1"/>
  <c r="L316" i="23"/>
  <c r="M316" i="23" s="1"/>
  <c r="L317" i="23"/>
  <c r="M317" i="23" s="1"/>
  <c r="L318" i="23"/>
  <c r="M318" i="23" s="1"/>
  <c r="L319" i="23"/>
  <c r="M319" i="23" s="1"/>
  <c r="L321" i="23"/>
  <c r="M321" i="23" s="1"/>
  <c r="L322" i="23"/>
  <c r="M322" i="23" s="1"/>
  <c r="L323" i="23"/>
  <c r="M323" i="23" s="1"/>
  <c r="L324" i="23"/>
  <c r="M324" i="23" s="1"/>
  <c r="L325" i="23"/>
  <c r="M325" i="23" s="1"/>
  <c r="L326" i="23"/>
  <c r="M326" i="23" s="1"/>
  <c r="L327" i="23"/>
  <c r="M327" i="23" s="1"/>
  <c r="L328" i="23"/>
  <c r="M328" i="23" s="1"/>
  <c r="L329" i="23"/>
  <c r="M329" i="23" s="1"/>
  <c r="L330" i="23"/>
  <c r="M330" i="23" s="1"/>
  <c r="L331" i="23"/>
  <c r="M331" i="23" s="1"/>
  <c r="L332" i="23"/>
  <c r="M332" i="23" s="1"/>
  <c r="L333" i="23"/>
  <c r="M333" i="23" s="1"/>
  <c r="L334" i="23"/>
  <c r="M334" i="23" s="1"/>
  <c r="L335" i="23"/>
  <c r="M335" i="23" s="1"/>
  <c r="L336" i="23"/>
  <c r="M336" i="23" s="1"/>
  <c r="L337" i="23"/>
  <c r="M337" i="23" s="1"/>
  <c r="L338" i="23"/>
  <c r="M338" i="23" s="1"/>
  <c r="L339" i="23"/>
  <c r="M339" i="23" s="1"/>
  <c r="L340" i="23"/>
  <c r="M340" i="23" s="1"/>
  <c r="L341" i="23"/>
  <c r="M341" i="23" s="1"/>
  <c r="L342" i="23"/>
  <c r="M342" i="23" s="1"/>
  <c r="L343" i="23"/>
  <c r="M343" i="23" s="1"/>
  <c r="L344" i="23"/>
  <c r="M344" i="23" s="1"/>
  <c r="L345" i="23"/>
  <c r="M345" i="23" s="1"/>
  <c r="L346" i="23"/>
  <c r="M346" i="23" s="1"/>
  <c r="L347" i="23"/>
  <c r="L348" i="23"/>
  <c r="M348" i="23" s="1"/>
  <c r="L349" i="23"/>
  <c r="M349" i="23" s="1"/>
  <c r="L350" i="23"/>
  <c r="M350" i="23" s="1"/>
  <c r="L351" i="23"/>
  <c r="M351" i="23" s="1"/>
  <c r="L352" i="23"/>
  <c r="M352" i="23" s="1"/>
  <c r="L353" i="23"/>
  <c r="M353" i="23" s="1"/>
  <c r="L354" i="23"/>
  <c r="M354" i="23" s="1"/>
  <c r="L355" i="23"/>
  <c r="M355" i="23" s="1"/>
  <c r="L356" i="23"/>
  <c r="M356" i="23" s="1"/>
  <c r="L357" i="23"/>
  <c r="M357" i="23" s="1"/>
  <c r="L358" i="23"/>
  <c r="M358" i="23" s="1"/>
  <c r="L359" i="23"/>
  <c r="M359" i="23" s="1"/>
  <c r="L360" i="23"/>
  <c r="M360" i="23" s="1"/>
  <c r="L361" i="23"/>
  <c r="M361" i="23" s="1"/>
  <c r="L362" i="23"/>
  <c r="M362" i="23" s="1"/>
  <c r="L363" i="23"/>
  <c r="M363" i="23" s="1"/>
  <c r="L364" i="23"/>
  <c r="M364" i="23" s="1"/>
  <c r="L365" i="23"/>
  <c r="M365" i="23" s="1"/>
  <c r="L366" i="23"/>
  <c r="M366" i="23" s="1"/>
  <c r="L367" i="23"/>
  <c r="M367" i="23" s="1"/>
  <c r="L368" i="23"/>
  <c r="M368" i="23" s="1"/>
  <c r="L369" i="23"/>
  <c r="M369" i="23" s="1"/>
  <c r="L370" i="23"/>
  <c r="M370" i="23" s="1"/>
  <c r="L371" i="23"/>
  <c r="M371" i="23" s="1"/>
  <c r="L372" i="23"/>
  <c r="M372" i="23" s="1"/>
  <c r="L373" i="23"/>
  <c r="M373" i="23" s="1"/>
  <c r="L374" i="23"/>
  <c r="M374" i="23" s="1"/>
  <c r="L375" i="23"/>
  <c r="M375" i="23" s="1"/>
  <c r="L376" i="23"/>
  <c r="M376" i="23" s="1"/>
  <c r="L377" i="23"/>
  <c r="M377" i="23" s="1"/>
  <c r="L378" i="23"/>
  <c r="M378" i="23" s="1"/>
  <c r="L379" i="23"/>
  <c r="M379" i="23" s="1"/>
  <c r="L380" i="23"/>
  <c r="M380" i="23" s="1"/>
  <c r="L381" i="23"/>
  <c r="M381" i="23" s="1"/>
  <c r="L382" i="23"/>
  <c r="M382" i="23" s="1"/>
  <c r="L383" i="23"/>
  <c r="M383" i="23" s="1"/>
  <c r="L384" i="23"/>
  <c r="M384" i="23" s="1"/>
  <c r="L385" i="23"/>
  <c r="M385" i="23" s="1"/>
  <c r="L386" i="23"/>
  <c r="M386" i="23" s="1"/>
  <c r="L387" i="23"/>
  <c r="M387" i="23" s="1"/>
  <c r="L388" i="23"/>
  <c r="M388" i="23" s="1"/>
  <c r="L389" i="23"/>
  <c r="M389" i="23" s="1"/>
  <c r="L390" i="23"/>
  <c r="M390" i="23" s="1"/>
  <c r="L391" i="23"/>
  <c r="M391" i="23" s="1"/>
  <c r="L392" i="23"/>
  <c r="M392" i="23" s="1"/>
  <c r="L393" i="23"/>
  <c r="M393" i="23" s="1"/>
  <c r="L394" i="23"/>
  <c r="M394" i="23" s="1"/>
  <c r="L395" i="23"/>
  <c r="M395" i="23" s="1"/>
  <c r="L396" i="23"/>
  <c r="M396" i="23" s="1"/>
  <c r="L397" i="23"/>
  <c r="M397" i="23" s="1"/>
  <c r="L398" i="23"/>
  <c r="M398" i="23" s="1"/>
  <c r="L399" i="23"/>
  <c r="M399" i="23" s="1"/>
  <c r="L400" i="23"/>
  <c r="M400" i="23" s="1"/>
  <c r="L401" i="23"/>
  <c r="M401" i="23" s="1"/>
  <c r="L402" i="23"/>
  <c r="M402" i="23" s="1"/>
  <c r="L403" i="23"/>
  <c r="M403" i="23" s="1"/>
  <c r="L404" i="23"/>
  <c r="M404" i="23" s="1"/>
  <c r="L405" i="23"/>
  <c r="M405" i="23" s="1"/>
  <c r="L406" i="23"/>
  <c r="M406" i="23" s="1"/>
  <c r="L407" i="23"/>
  <c r="M407" i="23" s="1"/>
  <c r="L408" i="23"/>
  <c r="M408" i="23" s="1"/>
  <c r="L409" i="23"/>
  <c r="M409" i="23" s="1"/>
  <c r="L410" i="23"/>
  <c r="M410" i="23" s="1"/>
  <c r="L411" i="23"/>
  <c r="M411" i="23" s="1"/>
  <c r="L412" i="23"/>
  <c r="M412" i="23" s="1"/>
  <c r="L413" i="23"/>
  <c r="M413" i="23" s="1"/>
  <c r="L414" i="23"/>
  <c r="M414" i="23" s="1"/>
  <c r="L415" i="23"/>
  <c r="M415" i="23" s="1"/>
  <c r="L33" i="23"/>
  <c r="G21" i="1" l="1"/>
  <c r="H21" i="1" s="1"/>
  <c r="K23" i="1"/>
  <c r="S9" i="25"/>
  <c r="S3" i="25"/>
  <c r="O9" i="25"/>
  <c r="C7" i="31"/>
  <c r="G7" i="31" s="1"/>
  <c r="I7" i="31" s="1"/>
  <c r="O3" i="25"/>
  <c r="K24" i="1"/>
  <c r="O24" i="1"/>
  <c r="O23" i="1"/>
  <c r="C6" i="31"/>
  <c r="F6" i="31" s="1"/>
  <c r="H6" i="31" s="1"/>
  <c r="U6" i="25"/>
  <c r="C10" i="31"/>
  <c r="G10" i="31" s="1"/>
  <c r="I10" i="31" s="1"/>
  <c r="C3" i="31"/>
  <c r="C4" i="31"/>
  <c r="F4" i="31" s="1"/>
  <c r="H4" i="31" s="1"/>
  <c r="C8" i="31"/>
  <c r="F8" i="31" s="1"/>
  <c r="H8" i="31" s="1"/>
  <c r="P11" i="25"/>
  <c r="O21" i="1" l="1"/>
  <c r="K21" i="1"/>
  <c r="F3" i="31"/>
  <c r="H3" i="31" s="1"/>
  <c r="P3" i="25"/>
  <c r="Q3" i="25"/>
  <c r="T5" i="25"/>
  <c r="G4" i="31"/>
  <c r="I4" i="31" s="1"/>
  <c r="G3" i="31"/>
  <c r="I3" i="31" s="1"/>
  <c r="F7" i="31"/>
  <c r="H7" i="31" s="1"/>
  <c r="T6" i="25"/>
  <c r="G8" i="31"/>
  <c r="I8" i="31" s="1"/>
  <c r="U5" i="25"/>
  <c r="F10" i="31"/>
  <c r="H10" i="31" s="1"/>
  <c r="Q11" i="25"/>
  <c r="C9" i="31"/>
  <c r="T8" i="25"/>
  <c r="G6" i="31"/>
  <c r="I6" i="31" s="1"/>
  <c r="T9" i="25"/>
  <c r="P9" i="25"/>
  <c r="T12" i="25"/>
  <c r="U8" i="25"/>
  <c r="U9" i="25"/>
  <c r="P12" i="25"/>
  <c r="U12" i="25"/>
  <c r="T3" i="25"/>
  <c r="U11" i="25"/>
  <c r="T7" i="25"/>
  <c r="Q6" i="25"/>
  <c r="C5" i="31"/>
  <c r="Q12" i="25"/>
  <c r="U3" i="25"/>
  <c r="T11" i="25"/>
  <c r="U7" i="25"/>
  <c r="P6" i="25"/>
  <c r="Q5" i="25"/>
  <c r="P5" i="25"/>
  <c r="Q9" i="25"/>
  <c r="P8" i="25"/>
  <c r="P7" i="25"/>
  <c r="Q8" i="25"/>
  <c r="Q7" i="25"/>
  <c r="F5" i="31" l="1"/>
  <c r="H5" i="31" s="1"/>
  <c r="G5" i="31"/>
  <c r="I5" i="31" s="1"/>
  <c r="G9" i="31"/>
  <c r="I9" i="31" s="1"/>
  <c r="F9" i="31"/>
  <c r="H9" i="31" s="1"/>
  <c r="P13" i="25"/>
  <c r="K10" i="1" s="1"/>
  <c r="Q13" i="25"/>
  <c r="K11" i="1" s="1"/>
  <c r="T13" i="25"/>
  <c r="O10" i="1" s="1"/>
  <c r="U13" i="25"/>
  <c r="O11" i="1" s="1"/>
  <c r="G11" i="31" l="1"/>
  <c r="I11" i="31" s="1"/>
  <c r="F11" i="31"/>
  <c r="H11" i="31" s="1"/>
  <c r="F128" i="22"/>
  <c r="E127" i="22"/>
  <c r="F127" i="22" s="1"/>
  <c r="E126" i="22"/>
  <c r="F126" i="22" s="1"/>
  <c r="E125" i="22"/>
  <c r="F125" i="22" s="1"/>
  <c r="E124" i="22"/>
  <c r="F124" i="22" s="1"/>
  <c r="E123" i="22"/>
  <c r="F123" i="22" s="1"/>
  <c r="E122" i="22"/>
  <c r="F122" i="22" s="1"/>
  <c r="E121" i="22"/>
  <c r="F121" i="22" s="1"/>
  <c r="E120" i="22"/>
  <c r="F120" i="22" s="1"/>
  <c r="E119" i="22"/>
  <c r="F119" i="22" s="1"/>
  <c r="E118" i="22"/>
  <c r="F118" i="22" s="1"/>
  <c r="E117" i="22"/>
  <c r="F117" i="22" s="1"/>
  <c r="E116" i="22"/>
  <c r="F116" i="22" s="1"/>
  <c r="E115" i="22"/>
  <c r="F115" i="22" s="1"/>
  <c r="E114" i="22"/>
  <c r="F114" i="22" s="1"/>
  <c r="E113" i="22"/>
  <c r="F113" i="22" s="1"/>
  <c r="E112" i="22"/>
  <c r="F112" i="22" s="1"/>
  <c r="E111" i="22"/>
  <c r="F111" i="22" s="1"/>
  <c r="E110" i="22"/>
  <c r="F110" i="22" s="1"/>
  <c r="E109" i="22"/>
  <c r="F109" i="22" s="1"/>
  <c r="E108" i="22"/>
  <c r="F108" i="22" s="1"/>
  <c r="E107" i="22"/>
  <c r="F107" i="22" s="1"/>
  <c r="E106" i="22"/>
  <c r="F106" i="22" s="1"/>
  <c r="E105" i="22"/>
  <c r="F105" i="22" s="1"/>
  <c r="E104" i="22"/>
  <c r="F104" i="22" s="1"/>
  <c r="E103" i="22"/>
  <c r="F103" i="22" s="1"/>
  <c r="E102" i="22"/>
  <c r="F102" i="22" s="1"/>
  <c r="E101" i="22"/>
  <c r="F101" i="22" s="1"/>
  <c r="E100" i="22"/>
  <c r="F100" i="22" s="1"/>
  <c r="E99" i="22"/>
  <c r="F99" i="22" s="1"/>
  <c r="E98" i="22"/>
  <c r="F98" i="22" s="1"/>
  <c r="E97" i="22"/>
  <c r="F97" i="22" s="1"/>
  <c r="E96" i="22"/>
  <c r="F96" i="22" s="1"/>
  <c r="E95" i="22"/>
  <c r="F95" i="22" s="1"/>
  <c r="E94" i="22"/>
  <c r="F94" i="22" s="1"/>
  <c r="E93" i="22"/>
  <c r="F93" i="22" s="1"/>
  <c r="E92" i="22"/>
  <c r="F92" i="22" s="1"/>
  <c r="E91" i="22"/>
  <c r="F91" i="22" s="1"/>
  <c r="E90" i="22"/>
  <c r="F90" i="22" s="1"/>
  <c r="E89" i="22"/>
  <c r="F89" i="22" s="1"/>
  <c r="E88" i="22"/>
  <c r="F88" i="22" s="1"/>
  <c r="E87" i="22"/>
  <c r="F87" i="22" s="1"/>
  <c r="E86" i="22"/>
  <c r="F86" i="22" s="1"/>
  <c r="E85" i="22"/>
  <c r="F85" i="22" s="1"/>
  <c r="E84" i="22"/>
  <c r="F84" i="22" s="1"/>
  <c r="E83" i="22"/>
  <c r="F83" i="22" s="1"/>
  <c r="E82" i="22"/>
  <c r="F82" i="22" s="1"/>
  <c r="E81" i="22"/>
  <c r="F81" i="22" s="1"/>
  <c r="E80" i="22"/>
  <c r="F80" i="22" s="1"/>
  <c r="E79" i="22"/>
  <c r="F79" i="22" s="1"/>
  <c r="E78" i="22"/>
  <c r="F78" i="22" s="1"/>
  <c r="E77" i="22"/>
  <c r="F77" i="22" s="1"/>
  <c r="E76" i="22"/>
  <c r="F76" i="22" s="1"/>
  <c r="E75" i="22"/>
  <c r="F75" i="22" s="1"/>
  <c r="E74" i="22"/>
  <c r="F74" i="22" s="1"/>
  <c r="E73" i="22"/>
  <c r="F73" i="22" s="1"/>
  <c r="E72" i="22"/>
  <c r="F72" i="22" s="1"/>
  <c r="E71" i="22"/>
  <c r="F71" i="22" s="1"/>
  <c r="E70" i="22"/>
  <c r="F70" i="22" s="1"/>
  <c r="E69" i="22"/>
  <c r="F69" i="22" s="1"/>
  <c r="E68" i="22"/>
  <c r="F68" i="22" s="1"/>
  <c r="E67" i="22"/>
  <c r="F67" i="22" s="1"/>
  <c r="E66" i="22"/>
  <c r="F66" i="22" s="1"/>
  <c r="E65" i="22"/>
  <c r="F65" i="22" s="1"/>
  <c r="E64" i="22"/>
  <c r="F64" i="22" s="1"/>
  <c r="E63" i="22"/>
  <c r="F63" i="22" s="1"/>
  <c r="E62" i="22"/>
  <c r="F62" i="22" s="1"/>
  <c r="E61" i="22"/>
  <c r="F61" i="22" s="1"/>
  <c r="E60" i="22"/>
  <c r="F60" i="22" s="1"/>
  <c r="E59" i="22"/>
  <c r="F59" i="22" s="1"/>
  <c r="E58" i="22"/>
  <c r="F58" i="22" s="1"/>
  <c r="E57" i="22"/>
  <c r="F57" i="22" s="1"/>
  <c r="E56" i="22"/>
  <c r="F56" i="22" s="1"/>
  <c r="E55" i="22"/>
  <c r="F55" i="22" s="1"/>
  <c r="E54" i="22"/>
  <c r="F54" i="22" s="1"/>
  <c r="E53" i="22"/>
  <c r="F53" i="22" s="1"/>
  <c r="E52" i="22"/>
  <c r="F52" i="22" s="1"/>
  <c r="E51" i="22"/>
  <c r="F51" i="22" s="1"/>
  <c r="E50" i="22"/>
  <c r="F50" i="22" s="1"/>
  <c r="E49" i="22"/>
  <c r="F49" i="22" s="1"/>
  <c r="E48" i="22"/>
  <c r="F48" i="22" s="1"/>
  <c r="E47" i="22"/>
  <c r="F47" i="22" s="1"/>
  <c r="E46" i="22"/>
  <c r="F46" i="22" s="1"/>
  <c r="E45" i="22"/>
  <c r="F45" i="22" s="1"/>
  <c r="E44" i="22"/>
  <c r="F44" i="22" s="1"/>
  <c r="E43" i="22"/>
  <c r="F43" i="22" s="1"/>
  <c r="E42" i="22"/>
  <c r="F42" i="22" s="1"/>
  <c r="E41" i="22"/>
  <c r="F41" i="22" s="1"/>
  <c r="E40" i="22"/>
  <c r="F40" i="22" s="1"/>
  <c r="E39" i="22"/>
  <c r="F39" i="22" s="1"/>
  <c r="E38" i="22"/>
  <c r="F38" i="22" s="1"/>
  <c r="E37" i="22"/>
  <c r="F37" i="22" s="1"/>
  <c r="E36" i="22"/>
  <c r="F36" i="22" s="1"/>
  <c r="E35" i="22"/>
  <c r="F35" i="22" s="1"/>
  <c r="E34" i="22"/>
  <c r="F34" i="22" s="1"/>
  <c r="E33" i="22"/>
  <c r="F33" i="22" s="1"/>
  <c r="E19" i="17" l="1"/>
  <c r="E18" i="17"/>
  <c r="E17" i="17"/>
  <c r="E16" i="17"/>
  <c r="E15" i="17"/>
  <c r="E14" i="17"/>
  <c r="E13" i="17"/>
  <c r="E12" i="17"/>
  <c r="E11" i="17"/>
  <c r="E10" i="17"/>
  <c r="E9" i="17"/>
  <c r="E8" i="17"/>
  <c r="E7" i="17"/>
  <c r="E6" i="17"/>
  <c r="E5" i="17"/>
  <c r="E4" i="17"/>
  <c r="F4" i="17" s="1"/>
  <c r="H4" i="17" s="1"/>
  <c r="E3" i="17"/>
  <c r="D22" i="16"/>
  <c r="D21" i="16"/>
  <c r="D20" i="16"/>
  <c r="D19" i="16"/>
  <c r="D18" i="16"/>
  <c r="D17" i="16"/>
  <c r="D16" i="16"/>
  <c r="E16" i="16" s="1"/>
  <c r="G16" i="16" s="1"/>
  <c r="D15" i="16"/>
  <c r="D14" i="16"/>
  <c r="D13" i="16"/>
  <c r="D12" i="16"/>
  <c r="D11" i="16"/>
  <c r="D10" i="16"/>
  <c r="E10" i="16" s="1"/>
  <c r="G10" i="16" s="1"/>
  <c r="D9" i="16"/>
  <c r="D8" i="16"/>
  <c r="D7" i="16"/>
  <c r="D6" i="16"/>
  <c r="D5" i="16"/>
  <c r="D4" i="16"/>
  <c r="E4" i="16" s="1"/>
  <c r="G4" i="16" s="1"/>
  <c r="D3" i="16"/>
  <c r="E19" i="16" l="1"/>
  <c r="G19" i="16" s="1"/>
  <c r="E13" i="16"/>
  <c r="G13" i="16" s="1"/>
  <c r="G24" i="16" s="1"/>
  <c r="G25" i="16" s="1"/>
  <c r="E7" i="16"/>
  <c r="G7" i="16" s="1"/>
  <c r="F7" i="17"/>
  <c r="H7" i="17" s="1"/>
  <c r="F16" i="17"/>
  <c r="H16" i="17" s="1"/>
  <c r="F19" i="17"/>
  <c r="F10" i="17"/>
  <c r="H10" i="17" s="1"/>
  <c r="H22" i="17" s="1"/>
  <c r="F13" i="17"/>
  <c r="H13" i="17" s="1"/>
  <c r="G26" i="16" l="1"/>
  <c r="G7" i="1"/>
  <c r="G6" i="1" s="1"/>
  <c r="H23" i="17"/>
  <c r="G18" i="1"/>
  <c r="K7" i="1" l="1"/>
  <c r="H7" i="1"/>
  <c r="O18" i="1"/>
  <c r="K18" i="1"/>
  <c r="O7" i="1"/>
  <c r="H18" i="1"/>
  <c r="C2" i="15" l="1"/>
  <c r="D2" i="15" l="1"/>
  <c r="I3" i="8" l="1"/>
  <c r="D4" i="12" l="1"/>
  <c r="C3" i="12"/>
  <c r="E3" i="12" s="1"/>
  <c r="C2" i="12"/>
  <c r="E2" i="12" s="1"/>
  <c r="E4" i="12" s="1"/>
  <c r="G9" i="1" s="1"/>
  <c r="K9" i="1" l="1"/>
  <c r="G5" i="1"/>
  <c r="H5" i="1" s="1"/>
  <c r="O9" i="1"/>
  <c r="H9" i="1"/>
  <c r="N4" i="8" l="1"/>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3" i="8"/>
  <c r="I99" i="8" l="1"/>
  <c r="F100" i="8"/>
  <c r="G100" i="8" s="1"/>
  <c r="D9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F99" i="8"/>
  <c r="G99" i="8" s="1"/>
  <c r="L99" i="8" s="1"/>
  <c r="O99" i="8" s="1"/>
  <c r="F98" i="8"/>
  <c r="G98" i="8" s="1"/>
  <c r="L98" i="8" s="1"/>
  <c r="O98" i="8" s="1"/>
  <c r="F97" i="8"/>
  <c r="G97" i="8" s="1"/>
  <c r="L97" i="8" s="1"/>
  <c r="O97" i="8" s="1"/>
  <c r="F96" i="8"/>
  <c r="G96" i="8" s="1"/>
  <c r="L96" i="8" s="1"/>
  <c r="O96" i="8" s="1"/>
  <c r="F95" i="8"/>
  <c r="G95" i="8" s="1"/>
  <c r="F94" i="8"/>
  <c r="G94" i="8" s="1"/>
  <c r="L94" i="8" s="1"/>
  <c r="O94" i="8" s="1"/>
  <c r="F93" i="8"/>
  <c r="G93" i="8" s="1"/>
  <c r="L93" i="8" s="1"/>
  <c r="O93" i="8" s="1"/>
  <c r="F92" i="8"/>
  <c r="G92" i="8" s="1"/>
  <c r="L92" i="8" s="1"/>
  <c r="O92" i="8" s="1"/>
  <c r="F91" i="8"/>
  <c r="G91" i="8" s="1"/>
  <c r="F90" i="8"/>
  <c r="G90" i="8" s="1"/>
  <c r="L90" i="8" s="1"/>
  <c r="O90" i="8" s="1"/>
  <c r="F89" i="8"/>
  <c r="G89" i="8" s="1"/>
  <c r="L89" i="8" s="1"/>
  <c r="O89" i="8" s="1"/>
  <c r="F88" i="8"/>
  <c r="G88" i="8" s="1"/>
  <c r="L88" i="8" s="1"/>
  <c r="O88" i="8" s="1"/>
  <c r="F87" i="8"/>
  <c r="G87" i="8" s="1"/>
  <c r="L87" i="8" s="1"/>
  <c r="O87" i="8" s="1"/>
  <c r="F86" i="8"/>
  <c r="G86" i="8" s="1"/>
  <c r="L86" i="8" s="1"/>
  <c r="O86" i="8" s="1"/>
  <c r="F85" i="8"/>
  <c r="G85" i="8" s="1"/>
  <c r="L85" i="8" s="1"/>
  <c r="O85" i="8" s="1"/>
  <c r="F84" i="8"/>
  <c r="G84" i="8" s="1"/>
  <c r="L84" i="8" s="1"/>
  <c r="O84" i="8" s="1"/>
  <c r="F83" i="8"/>
  <c r="G83" i="8" s="1"/>
  <c r="F82" i="8"/>
  <c r="G82" i="8" s="1"/>
  <c r="L82" i="8" s="1"/>
  <c r="O82" i="8" s="1"/>
  <c r="F81" i="8"/>
  <c r="G81" i="8" s="1"/>
  <c r="L81" i="8" s="1"/>
  <c r="O81" i="8" s="1"/>
  <c r="F80" i="8"/>
  <c r="G80" i="8" s="1"/>
  <c r="L80" i="8" s="1"/>
  <c r="O80" i="8" s="1"/>
  <c r="F79" i="8"/>
  <c r="G79" i="8" s="1"/>
  <c r="L79" i="8" s="1"/>
  <c r="O79" i="8" s="1"/>
  <c r="F78" i="8"/>
  <c r="G78" i="8" s="1"/>
  <c r="L78" i="8" s="1"/>
  <c r="O78" i="8" s="1"/>
  <c r="F77" i="8"/>
  <c r="G77" i="8" s="1"/>
  <c r="L77" i="8" s="1"/>
  <c r="O77" i="8" s="1"/>
  <c r="F76" i="8"/>
  <c r="G76" i="8" s="1"/>
  <c r="L76" i="8" s="1"/>
  <c r="O76" i="8" s="1"/>
  <c r="F75" i="8"/>
  <c r="G75" i="8" s="1"/>
  <c r="F74" i="8"/>
  <c r="G74" i="8" s="1"/>
  <c r="L74" i="8" s="1"/>
  <c r="O74" i="8" s="1"/>
  <c r="F73" i="8"/>
  <c r="G73" i="8" s="1"/>
  <c r="L73" i="8" s="1"/>
  <c r="O73" i="8" s="1"/>
  <c r="F72" i="8"/>
  <c r="G72" i="8" s="1"/>
  <c r="L72" i="8" s="1"/>
  <c r="O72" i="8" s="1"/>
  <c r="F71" i="8"/>
  <c r="G71" i="8" s="1"/>
  <c r="L71" i="8" s="1"/>
  <c r="O71" i="8" s="1"/>
  <c r="F70" i="8"/>
  <c r="G70" i="8" s="1"/>
  <c r="L70" i="8" s="1"/>
  <c r="O70" i="8" s="1"/>
  <c r="F69" i="8"/>
  <c r="G69" i="8" s="1"/>
  <c r="L69" i="8" s="1"/>
  <c r="O69" i="8" s="1"/>
  <c r="F68" i="8"/>
  <c r="G68" i="8" s="1"/>
  <c r="L68" i="8" s="1"/>
  <c r="O68" i="8" s="1"/>
  <c r="F67" i="8"/>
  <c r="G67" i="8" s="1"/>
  <c r="L67" i="8" s="1"/>
  <c r="O67" i="8" s="1"/>
  <c r="F66" i="8"/>
  <c r="G66" i="8" s="1"/>
  <c r="L66" i="8" s="1"/>
  <c r="O66" i="8" s="1"/>
  <c r="F65" i="8"/>
  <c r="G65" i="8" s="1"/>
  <c r="L65" i="8" s="1"/>
  <c r="O65" i="8" s="1"/>
  <c r="F64" i="8"/>
  <c r="G64" i="8" s="1"/>
  <c r="L64" i="8" s="1"/>
  <c r="O64" i="8" s="1"/>
  <c r="F63" i="8"/>
  <c r="G63" i="8" s="1"/>
  <c r="L63" i="8" s="1"/>
  <c r="O63" i="8" s="1"/>
  <c r="F62" i="8"/>
  <c r="G62" i="8" s="1"/>
  <c r="L62" i="8" s="1"/>
  <c r="O62" i="8" s="1"/>
  <c r="F61" i="8"/>
  <c r="G61" i="8" s="1"/>
  <c r="L61" i="8" s="1"/>
  <c r="O61" i="8" s="1"/>
  <c r="F60" i="8"/>
  <c r="G60" i="8" s="1"/>
  <c r="L60" i="8" s="1"/>
  <c r="O60" i="8" s="1"/>
  <c r="F59" i="8"/>
  <c r="G59" i="8" s="1"/>
  <c r="F58" i="8"/>
  <c r="G58" i="8" s="1"/>
  <c r="L58" i="8" s="1"/>
  <c r="O58" i="8" s="1"/>
  <c r="F57" i="8"/>
  <c r="G57" i="8" s="1"/>
  <c r="L57" i="8" s="1"/>
  <c r="O57" i="8" s="1"/>
  <c r="F56" i="8"/>
  <c r="G56" i="8" s="1"/>
  <c r="L56" i="8" s="1"/>
  <c r="O56" i="8" s="1"/>
  <c r="F55" i="8"/>
  <c r="G55" i="8" s="1"/>
  <c r="L55" i="8" s="1"/>
  <c r="O55" i="8" s="1"/>
  <c r="F54" i="8"/>
  <c r="G54" i="8" s="1"/>
  <c r="L54" i="8" s="1"/>
  <c r="O54" i="8" s="1"/>
  <c r="F53" i="8"/>
  <c r="G53" i="8" s="1"/>
  <c r="L53" i="8" s="1"/>
  <c r="O53" i="8" s="1"/>
  <c r="F52" i="8"/>
  <c r="G52" i="8" s="1"/>
  <c r="L52" i="8" s="1"/>
  <c r="O52" i="8" s="1"/>
  <c r="F51" i="8"/>
  <c r="G51" i="8" s="1"/>
  <c r="F50" i="8"/>
  <c r="G50" i="8" s="1"/>
  <c r="L50" i="8" s="1"/>
  <c r="O50" i="8" s="1"/>
  <c r="F49" i="8"/>
  <c r="G49" i="8" s="1"/>
  <c r="L49" i="8" s="1"/>
  <c r="O49" i="8" s="1"/>
  <c r="F48" i="8"/>
  <c r="G48" i="8" s="1"/>
  <c r="L48" i="8" s="1"/>
  <c r="O48" i="8" s="1"/>
  <c r="F47" i="8"/>
  <c r="G47" i="8" s="1"/>
  <c r="L47" i="8" s="1"/>
  <c r="O47" i="8" s="1"/>
  <c r="F46" i="8"/>
  <c r="G46" i="8" s="1"/>
  <c r="L46" i="8" s="1"/>
  <c r="O46" i="8" s="1"/>
  <c r="F45" i="8"/>
  <c r="G45" i="8" s="1"/>
  <c r="F44" i="8"/>
  <c r="G44" i="8" s="1"/>
  <c r="L44" i="8" s="1"/>
  <c r="O44" i="8" s="1"/>
  <c r="F43" i="8"/>
  <c r="G43" i="8" s="1"/>
  <c r="L43" i="8" s="1"/>
  <c r="O43" i="8" s="1"/>
  <c r="F42" i="8"/>
  <c r="G42" i="8" s="1"/>
  <c r="L42" i="8" s="1"/>
  <c r="O42" i="8" s="1"/>
  <c r="F41" i="8"/>
  <c r="G41" i="8" s="1"/>
  <c r="L41" i="8" s="1"/>
  <c r="O41" i="8" s="1"/>
  <c r="F40" i="8"/>
  <c r="G40" i="8" s="1"/>
  <c r="F39" i="8"/>
  <c r="G39" i="8" s="1"/>
  <c r="F38" i="8"/>
  <c r="G38" i="8" s="1"/>
  <c r="L38" i="8" s="1"/>
  <c r="O38" i="8" s="1"/>
  <c r="F37" i="8"/>
  <c r="G37" i="8" s="1"/>
  <c r="L37" i="8" s="1"/>
  <c r="O37" i="8" s="1"/>
  <c r="F36" i="8"/>
  <c r="G36" i="8" s="1"/>
  <c r="L36" i="8" s="1"/>
  <c r="O36" i="8" s="1"/>
  <c r="F35" i="8"/>
  <c r="G35" i="8" s="1"/>
  <c r="F34" i="8"/>
  <c r="G34" i="8" s="1"/>
  <c r="L34" i="8" s="1"/>
  <c r="O34" i="8" s="1"/>
  <c r="F33" i="8"/>
  <c r="G33" i="8" s="1"/>
  <c r="F32" i="8"/>
  <c r="G32" i="8" s="1"/>
  <c r="L32" i="8" s="1"/>
  <c r="O32" i="8" s="1"/>
  <c r="F31" i="8"/>
  <c r="G31" i="8" s="1"/>
  <c r="L31" i="8" s="1"/>
  <c r="O31" i="8" s="1"/>
  <c r="F30" i="8"/>
  <c r="G30" i="8" s="1"/>
  <c r="L30" i="8" s="1"/>
  <c r="O30" i="8" s="1"/>
  <c r="F29" i="8"/>
  <c r="G29" i="8" s="1"/>
  <c r="L29" i="8" s="1"/>
  <c r="O29" i="8" s="1"/>
  <c r="F28" i="8"/>
  <c r="G28" i="8" s="1"/>
  <c r="L28" i="8" s="1"/>
  <c r="O28" i="8" s="1"/>
  <c r="F27" i="8"/>
  <c r="G27" i="8" s="1"/>
  <c r="F26" i="8"/>
  <c r="G26" i="8" s="1"/>
  <c r="L26" i="8" s="1"/>
  <c r="O26" i="8" s="1"/>
  <c r="F25" i="8"/>
  <c r="G25" i="8" s="1"/>
  <c r="L25" i="8" s="1"/>
  <c r="O25" i="8" s="1"/>
  <c r="F24" i="8"/>
  <c r="G24" i="8" s="1"/>
  <c r="L24" i="8" s="1"/>
  <c r="O24" i="8" s="1"/>
  <c r="F23" i="8"/>
  <c r="G23" i="8" s="1"/>
  <c r="F22" i="8"/>
  <c r="G22" i="8" s="1"/>
  <c r="L22" i="8" s="1"/>
  <c r="O22" i="8" s="1"/>
  <c r="F21" i="8"/>
  <c r="G21" i="8" s="1"/>
  <c r="L21" i="8" s="1"/>
  <c r="O21" i="8" s="1"/>
  <c r="F20" i="8"/>
  <c r="G20" i="8" s="1"/>
  <c r="L20" i="8" s="1"/>
  <c r="O20" i="8" s="1"/>
  <c r="F19" i="8"/>
  <c r="G19" i="8" s="1"/>
  <c r="F18" i="8"/>
  <c r="G18" i="8" s="1"/>
  <c r="L18" i="8" s="1"/>
  <c r="O18" i="8" s="1"/>
  <c r="F17" i="8"/>
  <c r="G17" i="8" s="1"/>
  <c r="F16" i="8"/>
  <c r="G16" i="8" s="1"/>
  <c r="L16" i="8" s="1"/>
  <c r="O16" i="8" s="1"/>
  <c r="F15" i="8"/>
  <c r="G15" i="8" s="1"/>
  <c r="L15" i="8" s="1"/>
  <c r="O15" i="8" s="1"/>
  <c r="F14" i="8"/>
  <c r="G14" i="8" s="1"/>
  <c r="L14" i="8" s="1"/>
  <c r="O14" i="8" s="1"/>
  <c r="F13" i="8"/>
  <c r="G13" i="8" s="1"/>
  <c r="L13" i="8" s="1"/>
  <c r="O13" i="8" s="1"/>
  <c r="F12" i="8"/>
  <c r="G12" i="8" s="1"/>
  <c r="L12" i="8" s="1"/>
  <c r="O12" i="8" s="1"/>
  <c r="F11" i="8"/>
  <c r="G11" i="8" s="1"/>
  <c r="L11" i="8" s="1"/>
  <c r="O11" i="8" s="1"/>
  <c r="F10" i="8"/>
  <c r="G10" i="8" s="1"/>
  <c r="L10" i="8" s="1"/>
  <c r="O10" i="8" s="1"/>
  <c r="F9" i="8"/>
  <c r="G9" i="8" s="1"/>
  <c r="L9" i="8" s="1"/>
  <c r="O9" i="8" s="1"/>
  <c r="F8" i="8"/>
  <c r="G8" i="8" s="1"/>
  <c r="L8" i="8" s="1"/>
  <c r="O8" i="8" s="1"/>
  <c r="F7" i="8"/>
  <c r="G7" i="8" s="1"/>
  <c r="L7" i="8" s="1"/>
  <c r="O7" i="8" s="1"/>
  <c r="F6" i="8"/>
  <c r="G6" i="8" s="1"/>
  <c r="L6" i="8" s="1"/>
  <c r="O6" i="8" s="1"/>
  <c r="F5" i="8"/>
  <c r="G5" i="8" s="1"/>
  <c r="L5" i="8" s="1"/>
  <c r="O5" i="8" s="1"/>
  <c r="F4" i="8"/>
  <c r="G4" i="8" s="1"/>
  <c r="L4" i="8" s="1"/>
  <c r="O4" i="8" s="1"/>
  <c r="F3" i="8"/>
  <c r="G3" i="8" s="1"/>
  <c r="D90"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J37" i="9" s="1"/>
  <c r="I39" i="9"/>
  <c r="I40" i="9"/>
  <c r="I41" i="9"/>
  <c r="I42" i="9"/>
  <c r="I43" i="9"/>
  <c r="I44" i="9"/>
  <c r="I45" i="9"/>
  <c r="I46" i="9"/>
  <c r="I47" i="9"/>
  <c r="I48" i="9"/>
  <c r="I49" i="9"/>
  <c r="I50" i="9"/>
  <c r="I51" i="9"/>
  <c r="I52" i="9"/>
  <c r="I53" i="9"/>
  <c r="I54" i="9"/>
  <c r="I55" i="9"/>
  <c r="I56" i="9"/>
  <c r="I57" i="9"/>
  <c r="I58" i="9"/>
  <c r="I59" i="9"/>
  <c r="I60" i="9"/>
  <c r="I61" i="9"/>
  <c r="I62" i="9"/>
  <c r="I63" i="9"/>
  <c r="I64" i="9"/>
  <c r="I65" i="9"/>
  <c r="J65" i="9" s="1"/>
  <c r="I66" i="9"/>
  <c r="I67" i="9"/>
  <c r="I68" i="9"/>
  <c r="I69" i="9"/>
  <c r="I70" i="9"/>
  <c r="I71" i="9"/>
  <c r="I72" i="9"/>
  <c r="I73" i="9"/>
  <c r="J73" i="9" s="1"/>
  <c r="I74" i="9"/>
  <c r="I75" i="9"/>
  <c r="I76" i="9"/>
  <c r="I77" i="9"/>
  <c r="I78" i="9"/>
  <c r="I79" i="9"/>
  <c r="I80" i="9"/>
  <c r="I81" i="9"/>
  <c r="I82" i="9"/>
  <c r="I83" i="9"/>
  <c r="I84" i="9"/>
  <c r="I85" i="9"/>
  <c r="I86" i="9"/>
  <c r="I87" i="9"/>
  <c r="I88" i="9"/>
  <c r="I89" i="9"/>
  <c r="J89" i="9" s="1"/>
  <c r="I90" i="9"/>
  <c r="I91" i="9"/>
  <c r="I92" i="9"/>
  <c r="I93" i="9"/>
  <c r="I94" i="9"/>
  <c r="I95" i="9"/>
  <c r="I96" i="9"/>
  <c r="I97" i="9"/>
  <c r="J97" i="9" s="1"/>
  <c r="I2" i="9"/>
  <c r="F98" i="9"/>
  <c r="G98" i="9" s="1"/>
  <c r="J98" i="9" s="1"/>
  <c r="F97" i="9"/>
  <c r="G97" i="9" s="1"/>
  <c r="F96" i="9"/>
  <c r="G96" i="9" s="1"/>
  <c r="F95" i="9"/>
  <c r="G95" i="9" s="1"/>
  <c r="F94" i="9"/>
  <c r="G94" i="9" s="1"/>
  <c r="J94" i="9" s="1"/>
  <c r="F93" i="9"/>
  <c r="G93" i="9" s="1"/>
  <c r="F92" i="9"/>
  <c r="G92" i="9" s="1"/>
  <c r="F91" i="9"/>
  <c r="G91" i="9" s="1"/>
  <c r="F90" i="9"/>
  <c r="G90" i="9" s="1"/>
  <c r="J90" i="9" s="1"/>
  <c r="F89" i="9"/>
  <c r="G89" i="9" s="1"/>
  <c r="F88" i="9"/>
  <c r="G88" i="9" s="1"/>
  <c r="F87" i="9"/>
  <c r="G87" i="9" s="1"/>
  <c r="F86" i="9"/>
  <c r="G86" i="9" s="1"/>
  <c r="F85" i="9"/>
  <c r="G85" i="9" s="1"/>
  <c r="F84" i="9"/>
  <c r="G84" i="9" s="1"/>
  <c r="F83" i="9"/>
  <c r="G83" i="9" s="1"/>
  <c r="F82" i="9"/>
  <c r="G82" i="9" s="1"/>
  <c r="J82" i="9" s="1"/>
  <c r="F81" i="9"/>
  <c r="G81" i="9" s="1"/>
  <c r="F80" i="9"/>
  <c r="G80" i="9" s="1"/>
  <c r="F79" i="9"/>
  <c r="G79" i="9" s="1"/>
  <c r="F78" i="9"/>
  <c r="G78" i="9" s="1"/>
  <c r="J78" i="9" s="1"/>
  <c r="F77" i="9"/>
  <c r="G77" i="9" s="1"/>
  <c r="F76" i="9"/>
  <c r="G76" i="9" s="1"/>
  <c r="F75" i="9"/>
  <c r="G75" i="9" s="1"/>
  <c r="F74" i="9"/>
  <c r="G74" i="9" s="1"/>
  <c r="J74" i="9" s="1"/>
  <c r="F73" i="9"/>
  <c r="G73" i="9" s="1"/>
  <c r="F72" i="9"/>
  <c r="G72" i="9" s="1"/>
  <c r="F71" i="9"/>
  <c r="G71" i="9" s="1"/>
  <c r="F70" i="9"/>
  <c r="G70" i="9" s="1"/>
  <c r="J70" i="9" s="1"/>
  <c r="F69" i="9"/>
  <c r="G69" i="9" s="1"/>
  <c r="F68" i="9"/>
  <c r="G68" i="9" s="1"/>
  <c r="F67" i="9"/>
  <c r="G67" i="9" s="1"/>
  <c r="F66" i="9"/>
  <c r="G66" i="9" s="1"/>
  <c r="J66" i="9" s="1"/>
  <c r="F65" i="9"/>
  <c r="G65" i="9" s="1"/>
  <c r="F64" i="9"/>
  <c r="G64" i="9" s="1"/>
  <c r="F63" i="9"/>
  <c r="G63" i="9" s="1"/>
  <c r="F62" i="9"/>
  <c r="G62" i="9" s="1"/>
  <c r="J62" i="9" s="1"/>
  <c r="F61" i="9"/>
  <c r="G61" i="9" s="1"/>
  <c r="F60" i="9"/>
  <c r="G60" i="9" s="1"/>
  <c r="F59" i="9"/>
  <c r="G59" i="9" s="1"/>
  <c r="F58" i="9"/>
  <c r="G58" i="9" s="1"/>
  <c r="J58" i="9" s="1"/>
  <c r="F57" i="9"/>
  <c r="G57" i="9" s="1"/>
  <c r="F56" i="9"/>
  <c r="G56" i="9" s="1"/>
  <c r="F55" i="9"/>
  <c r="G55" i="9" s="1"/>
  <c r="F54" i="9"/>
  <c r="G54" i="9" s="1"/>
  <c r="J54" i="9" s="1"/>
  <c r="F53" i="9"/>
  <c r="G53" i="9" s="1"/>
  <c r="F52" i="9"/>
  <c r="G52" i="9" s="1"/>
  <c r="F51" i="9"/>
  <c r="G51" i="9" s="1"/>
  <c r="F50" i="9"/>
  <c r="G50" i="9" s="1"/>
  <c r="J50" i="9" s="1"/>
  <c r="F49" i="9"/>
  <c r="G49" i="9" s="1"/>
  <c r="F48" i="9"/>
  <c r="G48" i="9" s="1"/>
  <c r="F47" i="9"/>
  <c r="G47" i="9" s="1"/>
  <c r="F46" i="9"/>
  <c r="G46" i="9" s="1"/>
  <c r="F45" i="9"/>
  <c r="G45" i="9" s="1"/>
  <c r="F44" i="9"/>
  <c r="G44" i="9" s="1"/>
  <c r="F43" i="9"/>
  <c r="G43" i="9" s="1"/>
  <c r="F42" i="9"/>
  <c r="G42" i="9" s="1"/>
  <c r="J42" i="9" s="1"/>
  <c r="F41" i="9"/>
  <c r="G41" i="9" s="1"/>
  <c r="F40" i="9"/>
  <c r="G40" i="9" s="1"/>
  <c r="F39" i="9"/>
  <c r="G39" i="9" s="1"/>
  <c r="F38" i="9"/>
  <c r="G38" i="9" s="1"/>
  <c r="J38" i="9" s="1"/>
  <c r="F37" i="9"/>
  <c r="G37" i="9" s="1"/>
  <c r="F36" i="9"/>
  <c r="G36" i="9" s="1"/>
  <c r="F35" i="9"/>
  <c r="G35" i="9" s="1"/>
  <c r="F34" i="9"/>
  <c r="G34" i="9" s="1"/>
  <c r="J34" i="9" s="1"/>
  <c r="F33" i="9"/>
  <c r="G33" i="9" s="1"/>
  <c r="F32" i="9"/>
  <c r="G32" i="9" s="1"/>
  <c r="F31" i="9"/>
  <c r="G31" i="9" s="1"/>
  <c r="F30" i="9"/>
  <c r="G30" i="9" s="1"/>
  <c r="J30" i="9" s="1"/>
  <c r="F29" i="9"/>
  <c r="G29" i="9" s="1"/>
  <c r="F28" i="9"/>
  <c r="G28" i="9" s="1"/>
  <c r="F27" i="9"/>
  <c r="G27" i="9" s="1"/>
  <c r="F26" i="9"/>
  <c r="G26" i="9" s="1"/>
  <c r="J26" i="9" s="1"/>
  <c r="F25" i="9"/>
  <c r="G25" i="9" s="1"/>
  <c r="F24" i="9"/>
  <c r="G24" i="9" s="1"/>
  <c r="F23" i="9"/>
  <c r="G23" i="9" s="1"/>
  <c r="J23" i="9" s="1"/>
  <c r="F22" i="9"/>
  <c r="G22" i="9" s="1"/>
  <c r="J22" i="9" s="1"/>
  <c r="F21" i="9"/>
  <c r="G21" i="9" s="1"/>
  <c r="F20" i="9"/>
  <c r="G20" i="9" s="1"/>
  <c r="F19" i="9"/>
  <c r="G19" i="9" s="1"/>
  <c r="J19" i="9" s="1"/>
  <c r="F18" i="9"/>
  <c r="G18" i="9" s="1"/>
  <c r="J18" i="9" s="1"/>
  <c r="F17" i="9"/>
  <c r="G17" i="9" s="1"/>
  <c r="J17" i="9" s="1"/>
  <c r="F16" i="9"/>
  <c r="G16" i="9" s="1"/>
  <c r="F15" i="9"/>
  <c r="G15" i="9" s="1"/>
  <c r="J15" i="9" s="1"/>
  <c r="F14" i="9"/>
  <c r="G14" i="9" s="1"/>
  <c r="F13" i="9"/>
  <c r="G13" i="9" s="1"/>
  <c r="F12" i="9"/>
  <c r="G12" i="9" s="1"/>
  <c r="F11" i="9"/>
  <c r="G11" i="9" s="1"/>
  <c r="F10" i="9"/>
  <c r="G10" i="9" s="1"/>
  <c r="J10" i="9" s="1"/>
  <c r="F9" i="9"/>
  <c r="G9" i="9" s="1"/>
  <c r="J9" i="9" s="1"/>
  <c r="F8" i="9"/>
  <c r="G8" i="9" s="1"/>
  <c r="F7" i="9"/>
  <c r="G7" i="9" s="1"/>
  <c r="J7" i="9" s="1"/>
  <c r="F6" i="9"/>
  <c r="G6" i="9" s="1"/>
  <c r="J6" i="9" s="1"/>
  <c r="F5" i="9"/>
  <c r="G5" i="9" s="1"/>
  <c r="J5" i="9" s="1"/>
  <c r="F4" i="9"/>
  <c r="G4" i="9" s="1"/>
  <c r="F3" i="9"/>
  <c r="G3" i="9" s="1"/>
  <c r="J3" i="9" s="1"/>
  <c r="F2" i="9"/>
  <c r="G2" i="9" s="1"/>
  <c r="J2" i="9" s="1"/>
  <c r="AG97" i="6"/>
  <c r="AG96" i="6"/>
  <c r="AG95" i="6"/>
  <c r="AG94" i="6"/>
  <c r="AG93" i="6"/>
  <c r="AG92" i="6"/>
  <c r="AG91" i="6"/>
  <c r="AG90" i="6"/>
  <c r="AG89" i="6"/>
  <c r="AG88" i="6"/>
  <c r="AG87" i="6"/>
  <c r="AG86" i="6"/>
  <c r="AG85" i="6"/>
  <c r="AG84" i="6"/>
  <c r="AG83" i="6"/>
  <c r="AG82" i="6"/>
  <c r="AG81" i="6"/>
  <c r="AG80" i="6"/>
  <c r="AG79" i="6"/>
  <c r="AG78" i="6"/>
  <c r="AG77" i="6"/>
  <c r="AG76" i="6"/>
  <c r="AG75" i="6"/>
  <c r="AG74" i="6"/>
  <c r="AG73" i="6"/>
  <c r="AG72" i="6"/>
  <c r="AG71" i="6"/>
  <c r="AG70" i="6"/>
  <c r="AG69" i="6"/>
  <c r="AG68" i="6"/>
  <c r="AG67" i="6"/>
  <c r="AG66" i="6"/>
  <c r="AG65" i="6"/>
  <c r="AG64" i="6"/>
  <c r="AG63" i="6"/>
  <c r="AG62" i="6"/>
  <c r="AG61" i="6"/>
  <c r="AG60" i="6"/>
  <c r="AG59" i="6"/>
  <c r="AG58" i="6"/>
  <c r="AG57" i="6"/>
  <c r="AG56" i="6"/>
  <c r="AG55" i="6"/>
  <c r="AG54" i="6"/>
  <c r="AG53" i="6"/>
  <c r="AG52" i="6"/>
  <c r="AG51" i="6"/>
  <c r="AG50" i="6"/>
  <c r="AG49" i="6"/>
  <c r="AG48" i="6"/>
  <c r="AG47" i="6"/>
  <c r="AG46" i="6"/>
  <c r="AG45" i="6"/>
  <c r="AG44" i="6"/>
  <c r="AG43" i="6"/>
  <c r="AG42" i="6"/>
  <c r="AG41" i="6"/>
  <c r="AG40" i="6"/>
  <c r="AG38" i="6"/>
  <c r="AG37" i="6"/>
  <c r="AG36" i="6"/>
  <c r="AG35" i="6"/>
  <c r="AG34" i="6"/>
  <c r="AG33" i="6"/>
  <c r="AG32" i="6"/>
  <c r="AG31" i="6"/>
  <c r="AG30" i="6"/>
  <c r="AG29" i="6"/>
  <c r="AG28" i="6"/>
  <c r="AG27" i="6"/>
  <c r="AG26" i="6"/>
  <c r="AG25" i="6"/>
  <c r="AG24" i="6"/>
  <c r="AG23" i="6"/>
  <c r="AG22" i="6"/>
  <c r="AG21" i="6"/>
  <c r="AG20" i="6"/>
  <c r="AG19" i="6"/>
  <c r="AG18" i="6"/>
  <c r="AG17" i="6"/>
  <c r="AG16" i="6"/>
  <c r="AG15" i="6"/>
  <c r="AG14" i="6"/>
  <c r="AG13" i="6"/>
  <c r="AG12" i="6"/>
  <c r="AG11" i="6"/>
  <c r="AG10" i="6"/>
  <c r="AG9" i="6"/>
  <c r="AG8" i="6"/>
  <c r="AG7" i="6"/>
  <c r="AG6" i="6"/>
  <c r="AG5" i="6"/>
  <c r="AG4" i="6"/>
  <c r="AG3" i="6"/>
  <c r="AG2" i="6"/>
  <c r="U97" i="6"/>
  <c r="U96" i="6"/>
  <c r="U95" i="6"/>
  <c r="U94" i="6"/>
  <c r="U93" i="6"/>
  <c r="U92" i="6"/>
  <c r="U91" i="6"/>
  <c r="U90" i="6"/>
  <c r="U89" i="6"/>
  <c r="U88" i="6"/>
  <c r="U87" i="6"/>
  <c r="U86" i="6"/>
  <c r="U85" i="6"/>
  <c r="U84" i="6"/>
  <c r="U83" i="6"/>
  <c r="U82" i="6"/>
  <c r="U81" i="6"/>
  <c r="U80" i="6"/>
  <c r="U79" i="6"/>
  <c r="U78" i="6"/>
  <c r="U77" i="6"/>
  <c r="U76" i="6"/>
  <c r="U75" i="6"/>
  <c r="U74" i="6"/>
  <c r="U73" i="6"/>
  <c r="U72" i="6"/>
  <c r="U71" i="6"/>
  <c r="U70" i="6"/>
  <c r="U69" i="6"/>
  <c r="U68" i="6"/>
  <c r="U67" i="6"/>
  <c r="U66" i="6"/>
  <c r="U65" i="6"/>
  <c r="U64" i="6"/>
  <c r="U63" i="6"/>
  <c r="U62" i="6"/>
  <c r="U61" i="6"/>
  <c r="U60" i="6"/>
  <c r="U59" i="6"/>
  <c r="U58" i="6"/>
  <c r="U57" i="6"/>
  <c r="U56" i="6"/>
  <c r="U55" i="6"/>
  <c r="U54" i="6"/>
  <c r="U53" i="6"/>
  <c r="U52" i="6"/>
  <c r="U51" i="6"/>
  <c r="U50" i="6"/>
  <c r="U49" i="6"/>
  <c r="U48" i="6"/>
  <c r="U47" i="6"/>
  <c r="U46" i="6"/>
  <c r="U45" i="6"/>
  <c r="U44" i="6"/>
  <c r="U43" i="6"/>
  <c r="U42" i="6"/>
  <c r="U41" i="6"/>
  <c r="U40"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U4" i="6"/>
  <c r="U3" i="6"/>
  <c r="U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J89" i="6" s="1"/>
  <c r="I90" i="6"/>
  <c r="I91" i="6"/>
  <c r="I92" i="6"/>
  <c r="I93" i="6"/>
  <c r="I94" i="6"/>
  <c r="I95" i="6"/>
  <c r="I96" i="6"/>
  <c r="I97" i="6"/>
  <c r="I2" i="6"/>
  <c r="AD98" i="6"/>
  <c r="AE98" i="6" s="1"/>
  <c r="AH98" i="6" s="1"/>
  <c r="AD97" i="6"/>
  <c r="AE97" i="6" s="1"/>
  <c r="AD96" i="6"/>
  <c r="AE96" i="6" s="1"/>
  <c r="AD95" i="6"/>
  <c r="AE95" i="6" s="1"/>
  <c r="AH95" i="6" s="1"/>
  <c r="AD94" i="6"/>
  <c r="AE94" i="6" s="1"/>
  <c r="AD93" i="6"/>
  <c r="AE93" i="6" s="1"/>
  <c r="AD92" i="6"/>
  <c r="AE92" i="6" s="1"/>
  <c r="AD91" i="6"/>
  <c r="AE91" i="6" s="1"/>
  <c r="AD90" i="6"/>
  <c r="AE90" i="6" s="1"/>
  <c r="AD89" i="6"/>
  <c r="AE89" i="6" s="1"/>
  <c r="AD88" i="6"/>
  <c r="AE88" i="6" s="1"/>
  <c r="AD87" i="6"/>
  <c r="AE87" i="6" s="1"/>
  <c r="AH87" i="6" s="1"/>
  <c r="AD86" i="6"/>
  <c r="AE86" i="6" s="1"/>
  <c r="AD85" i="6"/>
  <c r="AE85" i="6" s="1"/>
  <c r="AD84" i="6"/>
  <c r="AE84" i="6" s="1"/>
  <c r="AD83" i="6"/>
  <c r="AE83" i="6" s="1"/>
  <c r="AD82" i="6"/>
  <c r="AE82" i="6" s="1"/>
  <c r="AD81" i="6"/>
  <c r="AE81" i="6" s="1"/>
  <c r="AD80" i="6"/>
  <c r="AE80" i="6" s="1"/>
  <c r="AD79" i="6"/>
  <c r="AE79" i="6" s="1"/>
  <c r="AH79" i="6" s="1"/>
  <c r="AD78" i="6"/>
  <c r="AE78" i="6" s="1"/>
  <c r="AD77" i="6"/>
  <c r="AE77" i="6" s="1"/>
  <c r="AD76" i="6"/>
  <c r="AE76" i="6" s="1"/>
  <c r="AD75" i="6"/>
  <c r="AE75" i="6" s="1"/>
  <c r="AD74" i="6"/>
  <c r="AE74" i="6" s="1"/>
  <c r="AD73" i="6"/>
  <c r="AE73" i="6" s="1"/>
  <c r="AD72" i="6"/>
  <c r="AE72" i="6" s="1"/>
  <c r="AD71" i="6"/>
  <c r="AE71" i="6" s="1"/>
  <c r="AH71" i="6" s="1"/>
  <c r="AD70" i="6"/>
  <c r="AE70" i="6" s="1"/>
  <c r="AD69" i="6"/>
  <c r="AE69" i="6" s="1"/>
  <c r="AD68" i="6"/>
  <c r="AE68" i="6" s="1"/>
  <c r="AD67" i="6"/>
  <c r="AE67" i="6" s="1"/>
  <c r="AD66" i="6"/>
  <c r="AE66" i="6" s="1"/>
  <c r="AD65" i="6"/>
  <c r="AE65" i="6" s="1"/>
  <c r="AD64" i="6"/>
  <c r="AE64" i="6" s="1"/>
  <c r="AD63" i="6"/>
  <c r="AE63" i="6" s="1"/>
  <c r="AD62" i="6"/>
  <c r="AE62" i="6" s="1"/>
  <c r="AD61" i="6"/>
  <c r="AE61" i="6" s="1"/>
  <c r="AD60" i="6"/>
  <c r="AE60" i="6" s="1"/>
  <c r="AD59" i="6"/>
  <c r="AE59" i="6" s="1"/>
  <c r="AD58" i="6"/>
  <c r="AE58" i="6" s="1"/>
  <c r="AD57" i="6"/>
  <c r="AE57" i="6" s="1"/>
  <c r="AD56" i="6"/>
  <c r="AE56" i="6" s="1"/>
  <c r="AD55" i="6"/>
  <c r="AE55" i="6" s="1"/>
  <c r="AD54" i="6"/>
  <c r="AE54" i="6" s="1"/>
  <c r="AD53" i="6"/>
  <c r="AE53" i="6" s="1"/>
  <c r="AD52" i="6"/>
  <c r="AE52" i="6" s="1"/>
  <c r="AD51" i="6"/>
  <c r="AE51" i="6" s="1"/>
  <c r="AD50" i="6"/>
  <c r="AE50" i="6" s="1"/>
  <c r="AD49" i="6"/>
  <c r="AE49" i="6" s="1"/>
  <c r="AD48" i="6"/>
  <c r="AE48" i="6" s="1"/>
  <c r="AD47" i="6"/>
  <c r="AE47" i="6" s="1"/>
  <c r="AD46" i="6"/>
  <c r="AE46" i="6" s="1"/>
  <c r="AD45" i="6"/>
  <c r="AE45" i="6" s="1"/>
  <c r="AD44" i="6"/>
  <c r="AE44" i="6" s="1"/>
  <c r="AD43" i="6"/>
  <c r="AE43" i="6" s="1"/>
  <c r="AH43" i="6" s="1"/>
  <c r="AD42" i="6"/>
  <c r="AE42" i="6" s="1"/>
  <c r="AD41" i="6"/>
  <c r="AE41" i="6" s="1"/>
  <c r="AD40" i="6"/>
  <c r="AE40" i="6" s="1"/>
  <c r="AD39" i="6"/>
  <c r="AE39" i="6" s="1"/>
  <c r="AH39" i="6" s="1"/>
  <c r="AD38" i="6"/>
  <c r="AE38" i="6" s="1"/>
  <c r="AD37" i="6"/>
  <c r="AE37" i="6" s="1"/>
  <c r="AD36" i="6"/>
  <c r="AE36" i="6" s="1"/>
  <c r="AD35" i="6"/>
  <c r="AE35" i="6" s="1"/>
  <c r="AH35" i="6" s="1"/>
  <c r="AD34" i="6"/>
  <c r="AE34" i="6" s="1"/>
  <c r="AD33" i="6"/>
  <c r="AE33" i="6" s="1"/>
  <c r="AD32" i="6"/>
  <c r="AE32" i="6" s="1"/>
  <c r="AD31" i="6"/>
  <c r="AE31" i="6" s="1"/>
  <c r="AH31" i="6" s="1"/>
  <c r="AD30" i="6"/>
  <c r="AE30" i="6" s="1"/>
  <c r="AD29" i="6"/>
  <c r="AE29" i="6" s="1"/>
  <c r="AD28" i="6"/>
  <c r="AE28" i="6" s="1"/>
  <c r="AD27" i="6"/>
  <c r="AE27" i="6" s="1"/>
  <c r="AH27" i="6" s="1"/>
  <c r="AD26" i="6"/>
  <c r="AE26" i="6" s="1"/>
  <c r="AD25" i="6"/>
  <c r="AE25" i="6" s="1"/>
  <c r="AD24" i="6"/>
  <c r="AE24" i="6" s="1"/>
  <c r="AD23" i="6"/>
  <c r="AE23" i="6" s="1"/>
  <c r="AD22" i="6"/>
  <c r="AE22" i="6" s="1"/>
  <c r="AD21" i="6"/>
  <c r="AE21" i="6" s="1"/>
  <c r="AD20" i="6"/>
  <c r="AE20" i="6" s="1"/>
  <c r="AD19" i="6"/>
  <c r="AE19" i="6" s="1"/>
  <c r="AH19" i="6" s="1"/>
  <c r="AD18" i="6"/>
  <c r="AE18" i="6" s="1"/>
  <c r="AD17" i="6"/>
  <c r="AE17" i="6" s="1"/>
  <c r="AD16" i="6"/>
  <c r="AE16" i="6" s="1"/>
  <c r="AD15" i="6"/>
  <c r="AE15" i="6" s="1"/>
  <c r="AD14" i="6"/>
  <c r="AE14" i="6" s="1"/>
  <c r="AD13" i="6"/>
  <c r="AE13" i="6" s="1"/>
  <c r="AD12" i="6"/>
  <c r="AE12" i="6" s="1"/>
  <c r="AD11" i="6"/>
  <c r="AE11" i="6" s="1"/>
  <c r="AH11" i="6" s="1"/>
  <c r="AD10" i="6"/>
  <c r="AE10" i="6" s="1"/>
  <c r="AD9" i="6"/>
  <c r="AE9" i="6" s="1"/>
  <c r="AD8" i="6"/>
  <c r="AE8" i="6" s="1"/>
  <c r="AD7" i="6"/>
  <c r="AE7" i="6" s="1"/>
  <c r="AD6" i="6"/>
  <c r="AE6" i="6" s="1"/>
  <c r="AD5" i="6"/>
  <c r="AE5" i="6" s="1"/>
  <c r="AD4" i="6"/>
  <c r="AE4" i="6" s="1"/>
  <c r="AD3" i="6"/>
  <c r="AE3" i="6" s="1"/>
  <c r="AH3" i="6" s="1"/>
  <c r="AD2" i="6"/>
  <c r="AE2" i="6" s="1"/>
  <c r="AH2" i="6" s="1"/>
  <c r="R98" i="6"/>
  <c r="S98" i="6" s="1"/>
  <c r="V98" i="6" s="1"/>
  <c r="R97" i="6"/>
  <c r="S97" i="6" s="1"/>
  <c r="R96" i="6"/>
  <c r="S96" i="6" s="1"/>
  <c r="R95" i="6"/>
  <c r="S95" i="6" s="1"/>
  <c r="R94" i="6"/>
  <c r="S94" i="6" s="1"/>
  <c r="R93" i="6"/>
  <c r="S93" i="6" s="1"/>
  <c r="R92" i="6"/>
  <c r="S92" i="6" s="1"/>
  <c r="R91" i="6"/>
  <c r="S91" i="6" s="1"/>
  <c r="R90" i="6"/>
  <c r="S90" i="6" s="1"/>
  <c r="R89" i="6"/>
  <c r="S89" i="6" s="1"/>
  <c r="R88" i="6"/>
  <c r="S88" i="6" s="1"/>
  <c r="R87" i="6"/>
  <c r="S87" i="6" s="1"/>
  <c r="R86" i="6"/>
  <c r="S86" i="6" s="1"/>
  <c r="R85" i="6"/>
  <c r="S85" i="6" s="1"/>
  <c r="R84" i="6"/>
  <c r="S84" i="6" s="1"/>
  <c r="R83" i="6"/>
  <c r="S83" i="6" s="1"/>
  <c r="R82" i="6"/>
  <c r="S82" i="6" s="1"/>
  <c r="R81" i="6"/>
  <c r="S81" i="6" s="1"/>
  <c r="R80" i="6"/>
  <c r="S80" i="6" s="1"/>
  <c r="R79" i="6"/>
  <c r="S79" i="6" s="1"/>
  <c r="R78" i="6"/>
  <c r="S78" i="6" s="1"/>
  <c r="R77" i="6"/>
  <c r="S77" i="6" s="1"/>
  <c r="R76" i="6"/>
  <c r="S76" i="6" s="1"/>
  <c r="R75" i="6"/>
  <c r="S75" i="6" s="1"/>
  <c r="R74" i="6"/>
  <c r="S74" i="6" s="1"/>
  <c r="R73" i="6"/>
  <c r="S73" i="6" s="1"/>
  <c r="R72" i="6"/>
  <c r="S72" i="6" s="1"/>
  <c r="R71" i="6"/>
  <c r="S71" i="6" s="1"/>
  <c r="R70" i="6"/>
  <c r="S70" i="6" s="1"/>
  <c r="R69" i="6"/>
  <c r="S69" i="6" s="1"/>
  <c r="R68" i="6"/>
  <c r="S68" i="6" s="1"/>
  <c r="R67" i="6"/>
  <c r="S67" i="6" s="1"/>
  <c r="R66" i="6"/>
  <c r="S66" i="6" s="1"/>
  <c r="R65" i="6"/>
  <c r="S65" i="6" s="1"/>
  <c r="R64" i="6"/>
  <c r="S64" i="6" s="1"/>
  <c r="R63" i="6"/>
  <c r="S63" i="6" s="1"/>
  <c r="R62" i="6"/>
  <c r="S62" i="6" s="1"/>
  <c r="R61" i="6"/>
  <c r="S61" i="6" s="1"/>
  <c r="R60" i="6"/>
  <c r="S60" i="6" s="1"/>
  <c r="R59" i="6"/>
  <c r="S59" i="6" s="1"/>
  <c r="R58" i="6"/>
  <c r="S58" i="6" s="1"/>
  <c r="R57" i="6"/>
  <c r="S57" i="6" s="1"/>
  <c r="R56" i="6"/>
  <c r="S56" i="6" s="1"/>
  <c r="R55" i="6"/>
  <c r="S55" i="6" s="1"/>
  <c r="R54" i="6"/>
  <c r="S54" i="6" s="1"/>
  <c r="R53" i="6"/>
  <c r="S53" i="6" s="1"/>
  <c r="R52" i="6"/>
  <c r="S52" i="6" s="1"/>
  <c r="R51" i="6"/>
  <c r="S51" i="6" s="1"/>
  <c r="R50" i="6"/>
  <c r="S50" i="6" s="1"/>
  <c r="R49" i="6"/>
  <c r="S49" i="6" s="1"/>
  <c r="R48" i="6"/>
  <c r="S48" i="6" s="1"/>
  <c r="R47" i="6"/>
  <c r="S47" i="6" s="1"/>
  <c r="R46" i="6"/>
  <c r="S46" i="6" s="1"/>
  <c r="R45" i="6"/>
  <c r="S45" i="6" s="1"/>
  <c r="R44" i="6"/>
  <c r="S44" i="6" s="1"/>
  <c r="R43" i="6"/>
  <c r="S43" i="6" s="1"/>
  <c r="R42" i="6"/>
  <c r="S42" i="6" s="1"/>
  <c r="R41" i="6"/>
  <c r="S41" i="6" s="1"/>
  <c r="R40" i="6"/>
  <c r="S40" i="6" s="1"/>
  <c r="R39" i="6"/>
  <c r="S39" i="6" s="1"/>
  <c r="V39" i="6" s="1"/>
  <c r="R38" i="6"/>
  <c r="S38" i="6" s="1"/>
  <c r="R37" i="6"/>
  <c r="S37" i="6" s="1"/>
  <c r="R36" i="6"/>
  <c r="S36" i="6" s="1"/>
  <c r="R35" i="6"/>
  <c r="S35" i="6" s="1"/>
  <c r="R34" i="6"/>
  <c r="S34" i="6" s="1"/>
  <c r="R33" i="6"/>
  <c r="S33" i="6" s="1"/>
  <c r="R32" i="6"/>
  <c r="S32" i="6" s="1"/>
  <c r="R31" i="6"/>
  <c r="S31" i="6" s="1"/>
  <c r="R30" i="6"/>
  <c r="S30" i="6" s="1"/>
  <c r="R29" i="6"/>
  <c r="S29" i="6" s="1"/>
  <c r="R28" i="6"/>
  <c r="S28" i="6" s="1"/>
  <c r="R27" i="6"/>
  <c r="S27" i="6" s="1"/>
  <c r="R26" i="6"/>
  <c r="S26" i="6" s="1"/>
  <c r="R25" i="6"/>
  <c r="S25" i="6" s="1"/>
  <c r="R24" i="6"/>
  <c r="S24" i="6" s="1"/>
  <c r="R23" i="6"/>
  <c r="S23" i="6" s="1"/>
  <c r="R22" i="6"/>
  <c r="S22" i="6" s="1"/>
  <c r="R21" i="6"/>
  <c r="S21" i="6" s="1"/>
  <c r="R20" i="6"/>
  <c r="S20" i="6" s="1"/>
  <c r="R19" i="6"/>
  <c r="S19" i="6" s="1"/>
  <c r="R18" i="6"/>
  <c r="S18" i="6" s="1"/>
  <c r="R17" i="6"/>
  <c r="S17" i="6" s="1"/>
  <c r="R16" i="6"/>
  <c r="S16" i="6" s="1"/>
  <c r="R15" i="6"/>
  <c r="S15" i="6" s="1"/>
  <c r="R14" i="6"/>
  <c r="S14" i="6" s="1"/>
  <c r="R13" i="6"/>
  <c r="S13" i="6" s="1"/>
  <c r="R12" i="6"/>
  <c r="S12" i="6" s="1"/>
  <c r="R11" i="6"/>
  <c r="S11" i="6" s="1"/>
  <c r="R10" i="6"/>
  <c r="S10" i="6" s="1"/>
  <c r="R9" i="6"/>
  <c r="S9" i="6" s="1"/>
  <c r="R8" i="6"/>
  <c r="S8" i="6" s="1"/>
  <c r="R7" i="6"/>
  <c r="S7" i="6" s="1"/>
  <c r="R6" i="6"/>
  <c r="S6" i="6" s="1"/>
  <c r="R5" i="6"/>
  <c r="S5" i="6" s="1"/>
  <c r="R4" i="6"/>
  <c r="S4" i="6" s="1"/>
  <c r="R3" i="6"/>
  <c r="S3" i="6" s="1"/>
  <c r="R2" i="6"/>
  <c r="S2" i="6" s="1"/>
  <c r="V2" i="6" s="1"/>
  <c r="F98" i="6"/>
  <c r="G98" i="6" s="1"/>
  <c r="J98" i="6" s="1"/>
  <c r="F97" i="6"/>
  <c r="G97" i="6" s="1"/>
  <c r="F96" i="6"/>
  <c r="G96" i="6" s="1"/>
  <c r="F95" i="6"/>
  <c r="G95" i="6" s="1"/>
  <c r="F94" i="6"/>
  <c r="G94" i="6" s="1"/>
  <c r="F93" i="6"/>
  <c r="G93" i="6" s="1"/>
  <c r="F92" i="6"/>
  <c r="G92" i="6" s="1"/>
  <c r="F91" i="6"/>
  <c r="G91" i="6" s="1"/>
  <c r="F90" i="6"/>
  <c r="G90" i="6" s="1"/>
  <c r="F89" i="6"/>
  <c r="G89" i="6" s="1"/>
  <c r="F88" i="6"/>
  <c r="G88" i="6" s="1"/>
  <c r="F87" i="6"/>
  <c r="G87" i="6" s="1"/>
  <c r="F86" i="6"/>
  <c r="G86" i="6" s="1"/>
  <c r="F85" i="6"/>
  <c r="G85" i="6" s="1"/>
  <c r="F84" i="6"/>
  <c r="G84" i="6" s="1"/>
  <c r="F83" i="6"/>
  <c r="G83" i="6" s="1"/>
  <c r="F82" i="6"/>
  <c r="G82" i="6" s="1"/>
  <c r="F81" i="6"/>
  <c r="G81" i="6" s="1"/>
  <c r="F80" i="6"/>
  <c r="G80" i="6" s="1"/>
  <c r="F79" i="6"/>
  <c r="G79" i="6" s="1"/>
  <c r="F78" i="6"/>
  <c r="G78" i="6" s="1"/>
  <c r="F77" i="6"/>
  <c r="G77" i="6" s="1"/>
  <c r="F76" i="6"/>
  <c r="G76" i="6" s="1"/>
  <c r="F75" i="6"/>
  <c r="G75" i="6" s="1"/>
  <c r="F74" i="6"/>
  <c r="G74" i="6" s="1"/>
  <c r="F73" i="6"/>
  <c r="G73" i="6" s="1"/>
  <c r="F72" i="6"/>
  <c r="G72" i="6" s="1"/>
  <c r="F71" i="6"/>
  <c r="G71" i="6" s="1"/>
  <c r="F70" i="6"/>
  <c r="G70" i="6" s="1"/>
  <c r="F69" i="6"/>
  <c r="G69" i="6" s="1"/>
  <c r="F68" i="6"/>
  <c r="G68" i="6" s="1"/>
  <c r="F67" i="6"/>
  <c r="G67" i="6" s="1"/>
  <c r="F66" i="6"/>
  <c r="G66" i="6" s="1"/>
  <c r="F65" i="6"/>
  <c r="G65" i="6" s="1"/>
  <c r="F64" i="6"/>
  <c r="G64" i="6" s="1"/>
  <c r="F63" i="6"/>
  <c r="G63" i="6" s="1"/>
  <c r="F62" i="6"/>
  <c r="G62" i="6" s="1"/>
  <c r="F61" i="6"/>
  <c r="G61" i="6" s="1"/>
  <c r="F60" i="6"/>
  <c r="G60" i="6" s="1"/>
  <c r="F59" i="6"/>
  <c r="G59" i="6" s="1"/>
  <c r="F58" i="6"/>
  <c r="G58" i="6" s="1"/>
  <c r="F57" i="6"/>
  <c r="G57" i="6" s="1"/>
  <c r="J57" i="6" s="1"/>
  <c r="F56" i="6"/>
  <c r="G56" i="6" s="1"/>
  <c r="F55" i="6"/>
  <c r="G55" i="6" s="1"/>
  <c r="F54" i="6"/>
  <c r="G54" i="6" s="1"/>
  <c r="F53" i="6"/>
  <c r="G53" i="6" s="1"/>
  <c r="J53" i="6" s="1"/>
  <c r="F52" i="6"/>
  <c r="G52" i="6" s="1"/>
  <c r="F51" i="6"/>
  <c r="G51" i="6" s="1"/>
  <c r="F50" i="6"/>
  <c r="G50" i="6" s="1"/>
  <c r="F49" i="6"/>
  <c r="G49" i="6" s="1"/>
  <c r="F48" i="6"/>
  <c r="G48" i="6" s="1"/>
  <c r="F47" i="6"/>
  <c r="G47" i="6" s="1"/>
  <c r="F46" i="6"/>
  <c r="G46" i="6" s="1"/>
  <c r="F45" i="6"/>
  <c r="G45" i="6" s="1"/>
  <c r="J45" i="6" s="1"/>
  <c r="F44" i="6"/>
  <c r="G44" i="6" s="1"/>
  <c r="F43" i="6"/>
  <c r="G43" i="6" s="1"/>
  <c r="F42" i="6"/>
  <c r="G42" i="6" s="1"/>
  <c r="F41" i="6"/>
  <c r="G41" i="6" s="1"/>
  <c r="J41" i="6" s="1"/>
  <c r="F40" i="6"/>
  <c r="G40" i="6" s="1"/>
  <c r="F39" i="6"/>
  <c r="G39" i="6" s="1"/>
  <c r="J39" i="6" s="1"/>
  <c r="F38" i="6"/>
  <c r="G38" i="6" s="1"/>
  <c r="F37" i="6"/>
  <c r="G37" i="6" s="1"/>
  <c r="J37" i="6" s="1"/>
  <c r="F36" i="6"/>
  <c r="G36" i="6" s="1"/>
  <c r="F35" i="6"/>
  <c r="G35" i="6" s="1"/>
  <c r="F34" i="6"/>
  <c r="G34" i="6" s="1"/>
  <c r="F33" i="6"/>
  <c r="G33" i="6" s="1"/>
  <c r="J33" i="6" s="1"/>
  <c r="F32" i="6"/>
  <c r="G32" i="6" s="1"/>
  <c r="F31" i="6"/>
  <c r="G31" i="6" s="1"/>
  <c r="F30" i="6"/>
  <c r="G30" i="6" s="1"/>
  <c r="F29" i="6"/>
  <c r="G29" i="6" s="1"/>
  <c r="J29" i="6" s="1"/>
  <c r="F28" i="6"/>
  <c r="G28" i="6" s="1"/>
  <c r="F27" i="6"/>
  <c r="G27" i="6" s="1"/>
  <c r="F26" i="6"/>
  <c r="G26" i="6" s="1"/>
  <c r="F25" i="6"/>
  <c r="G25" i="6" s="1"/>
  <c r="J25" i="6" s="1"/>
  <c r="F24" i="6"/>
  <c r="G24" i="6" s="1"/>
  <c r="F23" i="6"/>
  <c r="G23" i="6" s="1"/>
  <c r="F22" i="6"/>
  <c r="G22" i="6" s="1"/>
  <c r="F21" i="6"/>
  <c r="G21" i="6" s="1"/>
  <c r="J21" i="6" s="1"/>
  <c r="F20" i="6"/>
  <c r="G20" i="6" s="1"/>
  <c r="F19" i="6"/>
  <c r="G19" i="6" s="1"/>
  <c r="F18" i="6"/>
  <c r="G18" i="6" s="1"/>
  <c r="F17" i="6"/>
  <c r="G17" i="6" s="1"/>
  <c r="J17" i="6" s="1"/>
  <c r="F16" i="6"/>
  <c r="G16" i="6" s="1"/>
  <c r="F15" i="6"/>
  <c r="G15" i="6" s="1"/>
  <c r="F14" i="6"/>
  <c r="G14" i="6" s="1"/>
  <c r="F13" i="6"/>
  <c r="G13" i="6" s="1"/>
  <c r="J13" i="6" s="1"/>
  <c r="F12" i="6"/>
  <c r="G12" i="6" s="1"/>
  <c r="F11" i="6"/>
  <c r="G11" i="6" s="1"/>
  <c r="F10" i="6"/>
  <c r="G10" i="6" s="1"/>
  <c r="F9" i="6"/>
  <c r="G9" i="6" s="1"/>
  <c r="J9" i="6" s="1"/>
  <c r="F8" i="6"/>
  <c r="G8" i="6" s="1"/>
  <c r="F7" i="6"/>
  <c r="G7" i="6" s="1"/>
  <c r="F6" i="6"/>
  <c r="G6" i="6" s="1"/>
  <c r="F5" i="6"/>
  <c r="G5" i="6" s="1"/>
  <c r="J5" i="6" s="1"/>
  <c r="F4" i="6"/>
  <c r="G4" i="6" s="1"/>
  <c r="F3" i="6"/>
  <c r="G3" i="6" s="1"/>
  <c r="F2" i="6"/>
  <c r="G2" i="6" s="1"/>
  <c r="F3" i="2"/>
  <c r="F4" i="2"/>
  <c r="G4" i="2" s="1"/>
  <c r="F5" i="2"/>
  <c r="G5" i="2" s="1"/>
  <c r="F6" i="2"/>
  <c r="F7" i="2"/>
  <c r="F8" i="2"/>
  <c r="G8" i="2" s="1"/>
  <c r="F9" i="2"/>
  <c r="F10" i="2"/>
  <c r="G10" i="2" s="1"/>
  <c r="F11" i="2"/>
  <c r="F12" i="2"/>
  <c r="G12" i="2" s="1"/>
  <c r="F13" i="2"/>
  <c r="G13" i="2" s="1"/>
  <c r="F14" i="2"/>
  <c r="G14" i="2" s="1"/>
  <c r="F15" i="2"/>
  <c r="F16" i="2"/>
  <c r="F17" i="2"/>
  <c r="G17" i="2" s="1"/>
  <c r="F18" i="2"/>
  <c r="G18" i="2" s="1"/>
  <c r="F19" i="2"/>
  <c r="F20" i="2"/>
  <c r="G20" i="2" s="1"/>
  <c r="F21" i="2"/>
  <c r="G21" i="2" s="1"/>
  <c r="F22" i="2"/>
  <c r="F23" i="2"/>
  <c r="G23" i="2" s="1"/>
  <c r="F24" i="2"/>
  <c r="G24" i="2" s="1"/>
  <c r="F25" i="2"/>
  <c r="G25" i="2" s="1"/>
  <c r="F26" i="2"/>
  <c r="G26" i="2" s="1"/>
  <c r="F27" i="2"/>
  <c r="F28" i="2"/>
  <c r="G28" i="2" s="1"/>
  <c r="F29" i="2"/>
  <c r="G29" i="2" s="1"/>
  <c r="F30" i="2"/>
  <c r="F31" i="2"/>
  <c r="F32" i="2"/>
  <c r="G32" i="2" s="1"/>
  <c r="F33" i="2"/>
  <c r="F34" i="2"/>
  <c r="G34" i="2" s="1"/>
  <c r="F35" i="2"/>
  <c r="F36" i="2"/>
  <c r="G36" i="2" s="1"/>
  <c r="F37" i="2"/>
  <c r="G37" i="2" s="1"/>
  <c r="F38" i="2"/>
  <c r="G38" i="2" s="1"/>
  <c r="F39" i="2"/>
  <c r="G39" i="2" s="1"/>
  <c r="F40" i="2"/>
  <c r="G40" i="2" s="1"/>
  <c r="F41" i="2"/>
  <c r="G41" i="2" s="1"/>
  <c r="F42" i="2"/>
  <c r="G42" i="2" s="1"/>
  <c r="F43" i="2"/>
  <c r="F44" i="2"/>
  <c r="G44" i="2" s="1"/>
  <c r="F45" i="2"/>
  <c r="F46" i="2"/>
  <c r="F47" i="2"/>
  <c r="G47" i="2" s="1"/>
  <c r="F48" i="2"/>
  <c r="G48" i="2" s="1"/>
  <c r="F49" i="2"/>
  <c r="G49" i="2" s="1"/>
  <c r="F50" i="2"/>
  <c r="G50" i="2" s="1"/>
  <c r="F51" i="2"/>
  <c r="F52" i="2"/>
  <c r="G52" i="2" s="1"/>
  <c r="F53" i="2"/>
  <c r="G53" i="2" s="1"/>
  <c r="F54" i="2"/>
  <c r="F55" i="2"/>
  <c r="F56" i="2"/>
  <c r="F57" i="2"/>
  <c r="G57" i="2" s="1"/>
  <c r="F58" i="2"/>
  <c r="G58" i="2" s="1"/>
  <c r="F59" i="2"/>
  <c r="F60" i="2"/>
  <c r="G60" i="2" s="1"/>
  <c r="F61" i="2"/>
  <c r="G61" i="2" s="1"/>
  <c r="F62" i="2"/>
  <c r="G62" i="2" s="1"/>
  <c r="F63" i="2"/>
  <c r="G63" i="2" s="1"/>
  <c r="F64" i="2"/>
  <c r="G64" i="2" s="1"/>
  <c r="F65" i="2"/>
  <c r="F66" i="2"/>
  <c r="G66" i="2" s="1"/>
  <c r="F67" i="2"/>
  <c r="F68" i="2"/>
  <c r="G68" i="2" s="1"/>
  <c r="F69" i="2"/>
  <c r="G69" i="2" s="1"/>
  <c r="F70" i="2"/>
  <c r="F71" i="2"/>
  <c r="F72" i="2"/>
  <c r="G72" i="2" s="1"/>
  <c r="F73" i="2"/>
  <c r="G73" i="2" s="1"/>
  <c r="F74" i="2"/>
  <c r="G74" i="2" s="1"/>
  <c r="F75" i="2"/>
  <c r="F76" i="2"/>
  <c r="G76" i="2" s="1"/>
  <c r="F77" i="2"/>
  <c r="G77" i="2" s="1"/>
  <c r="F78" i="2"/>
  <c r="G78" i="2" s="1"/>
  <c r="F79" i="2"/>
  <c r="F80" i="2"/>
  <c r="G80" i="2" s="1"/>
  <c r="F81" i="2"/>
  <c r="G81" i="2" s="1"/>
  <c r="F82" i="2"/>
  <c r="G82" i="2" s="1"/>
  <c r="F83" i="2"/>
  <c r="F84" i="2"/>
  <c r="F85" i="2"/>
  <c r="G85" i="2" s="1"/>
  <c r="F86" i="2"/>
  <c r="F87" i="2"/>
  <c r="G87" i="2" s="1"/>
  <c r="F90" i="2"/>
  <c r="G90" i="2" s="1"/>
  <c r="F91" i="2"/>
  <c r="G91" i="2" s="1"/>
  <c r="F92" i="2"/>
  <c r="G92" i="2" s="1"/>
  <c r="F93" i="2"/>
  <c r="F94" i="2"/>
  <c r="G94" i="2" s="1"/>
  <c r="F95" i="2"/>
  <c r="G95" i="2" s="1"/>
  <c r="F96" i="2"/>
  <c r="F97" i="2"/>
  <c r="G97" i="2" s="1"/>
  <c r="F98" i="2"/>
  <c r="G98" i="2" s="1"/>
  <c r="J98" i="2" s="1"/>
  <c r="F99" i="2"/>
  <c r="G99" i="2" s="1"/>
  <c r="J99" i="2" s="1"/>
  <c r="F2" i="2"/>
  <c r="G2" i="2" s="1"/>
  <c r="G84" i="2"/>
  <c r="I2" i="7"/>
  <c r="J41" i="7"/>
  <c r="J80"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40" i="7"/>
  <c r="I41" i="7"/>
  <c r="I42" i="7"/>
  <c r="I43" i="7"/>
  <c r="I44" i="7"/>
  <c r="I45" i="7"/>
  <c r="I46" i="7"/>
  <c r="I47" i="7"/>
  <c r="I48" i="7"/>
  <c r="J48" i="7" s="1"/>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F98" i="7"/>
  <c r="G98" i="7" s="1"/>
  <c r="J98" i="7" s="1"/>
  <c r="F97" i="7"/>
  <c r="G97" i="7" s="1"/>
  <c r="J97" i="7" s="1"/>
  <c r="F96" i="7"/>
  <c r="G96" i="7" s="1"/>
  <c r="J96" i="7" s="1"/>
  <c r="F95" i="7"/>
  <c r="G95" i="7" s="1"/>
  <c r="F94" i="7"/>
  <c r="G94" i="7" s="1"/>
  <c r="F93" i="7"/>
  <c r="G93" i="7" s="1"/>
  <c r="F92" i="7"/>
  <c r="G92" i="7" s="1"/>
  <c r="F91" i="7"/>
  <c r="G91" i="7" s="1"/>
  <c r="F90" i="7"/>
  <c r="G90" i="7" s="1"/>
  <c r="F89" i="7"/>
  <c r="G89" i="7" s="1"/>
  <c r="J89" i="7" s="1"/>
  <c r="F88" i="7"/>
  <c r="G88" i="7" s="1"/>
  <c r="F87" i="7"/>
  <c r="G87" i="7" s="1"/>
  <c r="F86" i="7"/>
  <c r="G86" i="7" s="1"/>
  <c r="F85" i="7"/>
  <c r="G85" i="7" s="1"/>
  <c r="F84" i="7"/>
  <c r="G84" i="7" s="1"/>
  <c r="F83" i="7"/>
  <c r="G83" i="7" s="1"/>
  <c r="F82" i="7"/>
  <c r="G82" i="7" s="1"/>
  <c r="F81" i="7"/>
  <c r="G81" i="7" s="1"/>
  <c r="J81" i="7" s="1"/>
  <c r="F80" i="7"/>
  <c r="G80" i="7" s="1"/>
  <c r="F79" i="7"/>
  <c r="G79" i="7" s="1"/>
  <c r="F78" i="7"/>
  <c r="G78" i="7" s="1"/>
  <c r="J78" i="7" s="1"/>
  <c r="F77" i="7"/>
  <c r="G77" i="7" s="1"/>
  <c r="F76" i="7"/>
  <c r="G76" i="7" s="1"/>
  <c r="F75" i="7"/>
  <c r="G75" i="7" s="1"/>
  <c r="F74" i="7"/>
  <c r="G74" i="7" s="1"/>
  <c r="J74" i="7" s="1"/>
  <c r="F73" i="7"/>
  <c r="G73" i="7" s="1"/>
  <c r="J73" i="7" s="1"/>
  <c r="F72" i="7"/>
  <c r="G72" i="7" s="1"/>
  <c r="F71" i="7"/>
  <c r="G71" i="7" s="1"/>
  <c r="F70" i="7"/>
  <c r="G70" i="7" s="1"/>
  <c r="J70" i="7" s="1"/>
  <c r="F69" i="7"/>
  <c r="G69" i="7" s="1"/>
  <c r="J69" i="7" s="1"/>
  <c r="F68" i="7"/>
  <c r="G68" i="7" s="1"/>
  <c r="F67" i="7"/>
  <c r="G67" i="7" s="1"/>
  <c r="F66" i="7"/>
  <c r="G66" i="7" s="1"/>
  <c r="F65" i="7"/>
  <c r="G65" i="7" s="1"/>
  <c r="J65" i="7" s="1"/>
  <c r="F64" i="7"/>
  <c r="G64" i="7" s="1"/>
  <c r="J64" i="7" s="1"/>
  <c r="F63" i="7"/>
  <c r="G63" i="7" s="1"/>
  <c r="F62" i="7"/>
  <c r="G62" i="7" s="1"/>
  <c r="J62" i="7" s="1"/>
  <c r="F61" i="7"/>
  <c r="G61" i="7" s="1"/>
  <c r="J61" i="7" s="1"/>
  <c r="F60" i="7"/>
  <c r="G60" i="7" s="1"/>
  <c r="F59" i="7"/>
  <c r="G59" i="7" s="1"/>
  <c r="F58" i="7"/>
  <c r="G58" i="7" s="1"/>
  <c r="F57" i="7"/>
  <c r="G57" i="7" s="1"/>
  <c r="J57" i="7" s="1"/>
  <c r="F56" i="7"/>
  <c r="G56" i="7" s="1"/>
  <c r="F55" i="7"/>
  <c r="G55" i="7" s="1"/>
  <c r="F54" i="7"/>
  <c r="G54" i="7" s="1"/>
  <c r="F53" i="7"/>
  <c r="G53" i="7" s="1"/>
  <c r="F52" i="7"/>
  <c r="G52" i="7" s="1"/>
  <c r="F51" i="7"/>
  <c r="G51" i="7" s="1"/>
  <c r="F50" i="7"/>
  <c r="G50" i="7" s="1"/>
  <c r="F49" i="7"/>
  <c r="G49" i="7" s="1"/>
  <c r="J49" i="7" s="1"/>
  <c r="F48" i="7"/>
  <c r="G48" i="7" s="1"/>
  <c r="F47" i="7"/>
  <c r="G47" i="7" s="1"/>
  <c r="F46" i="7"/>
  <c r="G46" i="7" s="1"/>
  <c r="F45" i="7"/>
  <c r="G45" i="7" s="1"/>
  <c r="J45" i="7" s="1"/>
  <c r="F44" i="7"/>
  <c r="G44" i="7" s="1"/>
  <c r="F43" i="7"/>
  <c r="G43" i="7" s="1"/>
  <c r="F42" i="7"/>
  <c r="G42" i="7" s="1"/>
  <c r="F41" i="7"/>
  <c r="G41" i="7" s="1"/>
  <c r="F40" i="7"/>
  <c r="G40" i="7" s="1"/>
  <c r="F39" i="7"/>
  <c r="G39" i="7" s="1"/>
  <c r="J39" i="7" s="1"/>
  <c r="F38" i="7"/>
  <c r="G38" i="7" s="1"/>
  <c r="J38" i="7" s="1"/>
  <c r="F37" i="7"/>
  <c r="G37" i="7" s="1"/>
  <c r="F36" i="7"/>
  <c r="G36" i="7" s="1"/>
  <c r="F35" i="7"/>
  <c r="G35" i="7" s="1"/>
  <c r="F34" i="7"/>
  <c r="G34" i="7" s="1"/>
  <c r="F33" i="7"/>
  <c r="G33" i="7" s="1"/>
  <c r="F32" i="7"/>
  <c r="G32" i="7" s="1"/>
  <c r="F31" i="7"/>
  <c r="G31" i="7" s="1"/>
  <c r="G30" i="7"/>
  <c r="J30" i="7" s="1"/>
  <c r="F30" i="7"/>
  <c r="F29" i="7"/>
  <c r="G29" i="7" s="1"/>
  <c r="F28" i="7"/>
  <c r="G28" i="7" s="1"/>
  <c r="F27" i="7"/>
  <c r="G27" i="7" s="1"/>
  <c r="F26" i="7"/>
  <c r="G26" i="7" s="1"/>
  <c r="F25" i="7"/>
  <c r="G25" i="7" s="1"/>
  <c r="F24" i="7"/>
  <c r="G24" i="7" s="1"/>
  <c r="J24" i="7" s="1"/>
  <c r="F23" i="7"/>
  <c r="G23" i="7" s="1"/>
  <c r="J23" i="7" s="1"/>
  <c r="F22" i="7"/>
  <c r="G22" i="7" s="1"/>
  <c r="F21" i="7"/>
  <c r="G21" i="7" s="1"/>
  <c r="F20" i="7"/>
  <c r="G20" i="7" s="1"/>
  <c r="F19" i="7"/>
  <c r="G19" i="7" s="1"/>
  <c r="F18" i="7"/>
  <c r="G18" i="7" s="1"/>
  <c r="F17" i="7"/>
  <c r="G17" i="7" s="1"/>
  <c r="J17" i="7" s="1"/>
  <c r="F16" i="7"/>
  <c r="G16" i="7" s="1"/>
  <c r="F15" i="7"/>
  <c r="G15" i="7" s="1"/>
  <c r="J15" i="7" s="1"/>
  <c r="F14" i="7"/>
  <c r="G14" i="7" s="1"/>
  <c r="J14" i="7" s="1"/>
  <c r="F13" i="7"/>
  <c r="G13" i="7" s="1"/>
  <c r="F12" i="7"/>
  <c r="G12" i="7" s="1"/>
  <c r="F11" i="7"/>
  <c r="G11" i="7" s="1"/>
  <c r="F10" i="7"/>
  <c r="G10" i="7" s="1"/>
  <c r="F9" i="7"/>
  <c r="G9" i="7" s="1"/>
  <c r="F8" i="7"/>
  <c r="G8" i="7" s="1"/>
  <c r="F7" i="7"/>
  <c r="G7" i="7" s="1"/>
  <c r="F6" i="7"/>
  <c r="G6" i="7" s="1"/>
  <c r="F5" i="7"/>
  <c r="G5" i="7" s="1"/>
  <c r="F4" i="7"/>
  <c r="G4" i="7" s="1"/>
  <c r="F3" i="7"/>
  <c r="G3" i="7" s="1"/>
  <c r="F2" i="7"/>
  <c r="G2" i="7" s="1"/>
  <c r="J2" i="7" s="1"/>
  <c r="I96" i="2"/>
  <c r="I97" i="2"/>
  <c r="I98" i="2"/>
  <c r="D89" i="2"/>
  <c r="D88" i="2"/>
  <c r="I48" i="2"/>
  <c r="I49" i="2"/>
  <c r="I40" i="2"/>
  <c r="I2" i="2"/>
  <c r="G96" i="2"/>
  <c r="G93" i="2"/>
  <c r="G86" i="2"/>
  <c r="G83" i="2"/>
  <c r="G79" i="2"/>
  <c r="G75" i="2"/>
  <c r="G71" i="2"/>
  <c r="G70" i="2"/>
  <c r="G67" i="2"/>
  <c r="G65" i="2"/>
  <c r="G59" i="2"/>
  <c r="G56" i="2"/>
  <c r="G55" i="2"/>
  <c r="G54" i="2"/>
  <c r="G51" i="2"/>
  <c r="G46" i="2"/>
  <c r="G45" i="2"/>
  <c r="G43" i="2"/>
  <c r="G35" i="2"/>
  <c r="G33" i="2"/>
  <c r="G31" i="2"/>
  <c r="G30" i="2"/>
  <c r="G27" i="2"/>
  <c r="G22" i="2"/>
  <c r="G19" i="2"/>
  <c r="G16" i="2"/>
  <c r="G15" i="2"/>
  <c r="G11" i="2"/>
  <c r="G9" i="2"/>
  <c r="G7" i="2"/>
  <c r="G6" i="2"/>
  <c r="G3" i="2"/>
  <c r="J6" i="7" l="1"/>
  <c r="J59" i="7"/>
  <c r="J75" i="7"/>
  <c r="J84" i="6"/>
  <c r="J68" i="6"/>
  <c r="J20" i="9"/>
  <c r="J44" i="7"/>
  <c r="J51" i="7"/>
  <c r="J7" i="7"/>
  <c r="J22" i="7"/>
  <c r="J52" i="7"/>
  <c r="J60" i="7"/>
  <c r="J68" i="7"/>
  <c r="J2" i="2"/>
  <c r="J36" i="6"/>
  <c r="J20" i="6"/>
  <c r="J84" i="9"/>
  <c r="J76" i="9"/>
  <c r="J23" i="6"/>
  <c r="J40" i="7"/>
  <c r="J55" i="7"/>
  <c r="J63" i="7"/>
  <c r="J79" i="7"/>
  <c r="J87" i="7"/>
  <c r="J29" i="7"/>
  <c r="J13" i="7"/>
  <c r="J77" i="6"/>
  <c r="J85" i="6"/>
  <c r="J93" i="6"/>
  <c r="AH7" i="6"/>
  <c r="AH23" i="6"/>
  <c r="J96" i="6"/>
  <c r="J64" i="6"/>
  <c r="J57" i="9"/>
  <c r="J7" i="6"/>
  <c r="J31" i="7"/>
  <c r="J10" i="7"/>
  <c r="J47" i="7"/>
  <c r="J71" i="7"/>
  <c r="J3" i="7"/>
  <c r="J11" i="7"/>
  <c r="J18" i="7"/>
  <c r="J26" i="7"/>
  <c r="J56" i="7"/>
  <c r="J72" i="7"/>
  <c r="J88" i="7"/>
  <c r="J95" i="7"/>
  <c r="J93" i="7"/>
  <c r="J77" i="7"/>
  <c r="AH47" i="6"/>
  <c r="AH55" i="6"/>
  <c r="AH63" i="6"/>
  <c r="J13" i="9"/>
  <c r="J96" i="9"/>
  <c r="AH21" i="6"/>
  <c r="AH60" i="6"/>
  <c r="J67" i="7"/>
  <c r="J4" i="7"/>
  <c r="J53" i="7"/>
  <c r="AH15" i="6"/>
  <c r="J52" i="6"/>
  <c r="AH92" i="6"/>
  <c r="J44" i="9"/>
  <c r="J79" i="8"/>
  <c r="J54" i="7"/>
  <c r="J12" i="7"/>
  <c r="J25" i="7"/>
  <c r="AH67" i="6"/>
  <c r="AH8" i="6"/>
  <c r="J14" i="9"/>
  <c r="J46" i="9"/>
  <c r="J5" i="7"/>
  <c r="J46" i="7"/>
  <c r="J34" i="7"/>
  <c r="J35" i="7"/>
  <c r="AH75" i="6"/>
  <c r="J87" i="6"/>
  <c r="J26" i="6"/>
  <c r="AH41" i="6"/>
  <c r="J61" i="6"/>
  <c r="AH51" i="6"/>
  <c r="J21" i="9"/>
  <c r="J27" i="7"/>
  <c r="J83" i="7"/>
  <c r="J9" i="7"/>
  <c r="J20" i="7"/>
  <c r="J84" i="7"/>
  <c r="J16" i="7"/>
  <c r="J21" i="7"/>
  <c r="J36" i="7"/>
  <c r="J85" i="7"/>
  <c r="J71" i="6"/>
  <c r="V43" i="6"/>
  <c r="V51" i="6"/>
  <c r="V59" i="6"/>
  <c r="V67" i="6"/>
  <c r="V75" i="6"/>
  <c r="V83" i="6"/>
  <c r="V91" i="6"/>
  <c r="AH73" i="6"/>
  <c r="J86" i="9"/>
  <c r="J94" i="7"/>
  <c r="J69" i="6"/>
  <c r="AH59" i="6"/>
  <c r="J19" i="7"/>
  <c r="J76" i="7"/>
  <c r="J91" i="7"/>
  <c r="J33" i="7"/>
  <c r="J28" i="7"/>
  <c r="J92" i="7"/>
  <c r="J32" i="7"/>
  <c r="J8" i="7"/>
  <c r="J37" i="7"/>
  <c r="J43" i="7"/>
  <c r="J50" i="7"/>
  <c r="J58" i="7"/>
  <c r="J86" i="7"/>
  <c r="J49" i="6"/>
  <c r="J65" i="6"/>
  <c r="J73" i="6"/>
  <c r="J81" i="6"/>
  <c r="J97" i="6"/>
  <c r="AH83" i="6"/>
  <c r="AH91" i="6"/>
  <c r="J55" i="6"/>
  <c r="V3" i="6"/>
  <c r="V11" i="6"/>
  <c r="V19" i="6"/>
  <c r="V27" i="6"/>
  <c r="V35" i="6"/>
  <c r="AH34" i="6"/>
  <c r="J25" i="9"/>
  <c r="J93" i="9"/>
  <c r="AH86" i="6"/>
  <c r="J23" i="8"/>
  <c r="L23" i="8"/>
  <c r="O23" i="8" s="1"/>
  <c r="J95" i="8"/>
  <c r="L95" i="8"/>
  <c r="O95" i="8" s="1"/>
  <c r="J71" i="8"/>
  <c r="J63" i="8"/>
  <c r="J82" i="7"/>
  <c r="J90" i="7"/>
  <c r="J39" i="8"/>
  <c r="L39" i="8"/>
  <c r="O39" i="8" s="1"/>
  <c r="J63" i="9"/>
  <c r="J42" i="7"/>
  <c r="J90" i="6"/>
  <c r="F89" i="2"/>
  <c r="G89" i="2" s="1"/>
  <c r="J11" i="9"/>
  <c r="J31" i="8"/>
  <c r="J66" i="7"/>
  <c r="J58" i="6"/>
  <c r="AH54" i="6"/>
  <c r="F88" i="2"/>
  <c r="G88" i="2" s="1"/>
  <c r="J83" i="6"/>
  <c r="J70" i="6"/>
  <c r="J51" i="6"/>
  <c r="J38" i="6"/>
  <c r="J32" i="6"/>
  <c r="J19" i="6"/>
  <c r="J6" i="6"/>
  <c r="V4" i="6"/>
  <c r="V12" i="6"/>
  <c r="V20" i="6"/>
  <c r="V28" i="6"/>
  <c r="V36" i="6"/>
  <c r="V44" i="6"/>
  <c r="V52" i="6"/>
  <c r="V60" i="6"/>
  <c r="V68" i="6"/>
  <c r="V76" i="6"/>
  <c r="V84" i="6"/>
  <c r="V92" i="6"/>
  <c r="AH9" i="6"/>
  <c r="AH22" i="6"/>
  <c r="AH28" i="6"/>
  <c r="AH42" i="6"/>
  <c r="AH48" i="6"/>
  <c r="AH61" i="6"/>
  <c r="AH74" i="6"/>
  <c r="AH80" i="6"/>
  <c r="AH93" i="6"/>
  <c r="J95" i="9"/>
  <c r="J88" i="9"/>
  <c r="J75" i="9"/>
  <c r="J69" i="9"/>
  <c r="J56" i="9"/>
  <c r="J43" i="9"/>
  <c r="J36" i="9"/>
  <c r="J24" i="9"/>
  <c r="J40" i="8"/>
  <c r="L40" i="8"/>
  <c r="O40" i="8" s="1"/>
  <c r="J86" i="8"/>
  <c r="J78" i="8"/>
  <c r="J95" i="6"/>
  <c r="J82" i="6"/>
  <c r="J76" i="6"/>
  <c r="J63" i="6"/>
  <c r="J50" i="6"/>
  <c r="J44" i="6"/>
  <c r="J31" i="6"/>
  <c r="J18" i="6"/>
  <c r="J12" i="6"/>
  <c r="V5" i="6"/>
  <c r="V13" i="6"/>
  <c r="V21" i="6"/>
  <c r="V29" i="6"/>
  <c r="V37" i="6"/>
  <c r="V45" i="6"/>
  <c r="V53" i="6"/>
  <c r="V61" i="6"/>
  <c r="V69" i="6"/>
  <c r="V77" i="6"/>
  <c r="V85" i="6"/>
  <c r="V93" i="6"/>
  <c r="AH10" i="6"/>
  <c r="AH16" i="6"/>
  <c r="AH29" i="6"/>
  <c r="AH49" i="6"/>
  <c r="AH62" i="6"/>
  <c r="AH68" i="6"/>
  <c r="AH81" i="6"/>
  <c r="AH94" i="6"/>
  <c r="J87" i="9"/>
  <c r="J81" i="9"/>
  <c r="J68" i="9"/>
  <c r="J55" i="9"/>
  <c r="J49" i="9"/>
  <c r="J35" i="9"/>
  <c r="J29" i="9"/>
  <c r="J17" i="8"/>
  <c r="L17" i="8"/>
  <c r="O17" i="8" s="1"/>
  <c r="J33" i="8"/>
  <c r="L33" i="8"/>
  <c r="O33" i="8" s="1"/>
  <c r="J85" i="8"/>
  <c r="J37" i="8"/>
  <c r="J94" i="6"/>
  <c r="J88" i="6"/>
  <c r="J75" i="6"/>
  <c r="J62" i="6"/>
  <c r="J56" i="6"/>
  <c r="J43" i="6"/>
  <c r="J30" i="6"/>
  <c r="J24" i="6"/>
  <c r="J11" i="6"/>
  <c r="V6" i="6"/>
  <c r="V14" i="6"/>
  <c r="V22" i="6"/>
  <c r="V30" i="6"/>
  <c r="V38" i="6"/>
  <c r="V46" i="6"/>
  <c r="V54" i="6"/>
  <c r="V62" i="6"/>
  <c r="V70" i="6"/>
  <c r="V78" i="6"/>
  <c r="V86" i="6"/>
  <c r="V94" i="6"/>
  <c r="AH4" i="6"/>
  <c r="AH17" i="6"/>
  <c r="AH30" i="6"/>
  <c r="AH36" i="6"/>
  <c r="AH50" i="6"/>
  <c r="AH56" i="6"/>
  <c r="AH69" i="6"/>
  <c r="AH82" i="6"/>
  <c r="AH88" i="6"/>
  <c r="J80" i="9"/>
  <c r="J67" i="9"/>
  <c r="J61" i="9"/>
  <c r="J48" i="9"/>
  <c r="J28" i="9"/>
  <c r="J74" i="6"/>
  <c r="J42" i="6"/>
  <c r="J10" i="6"/>
  <c r="J4" i="6"/>
  <c r="V7" i="6"/>
  <c r="V15" i="6"/>
  <c r="V23" i="6"/>
  <c r="V31" i="6"/>
  <c r="V47" i="6"/>
  <c r="V55" i="6"/>
  <c r="V63" i="6"/>
  <c r="V71" i="6"/>
  <c r="V79" i="6"/>
  <c r="V87" i="6"/>
  <c r="V95" i="6"/>
  <c r="AH5" i="6"/>
  <c r="AH18" i="6"/>
  <c r="AH24" i="6"/>
  <c r="AH37" i="6"/>
  <c r="AH44" i="6"/>
  <c r="AH57" i="6"/>
  <c r="AH70" i="6"/>
  <c r="AH76" i="6"/>
  <c r="AH89" i="6"/>
  <c r="J79" i="9"/>
  <c r="J60" i="9"/>
  <c r="J47" i="9"/>
  <c r="J41" i="9"/>
  <c r="J27" i="9"/>
  <c r="J4" i="9"/>
  <c r="J3" i="8"/>
  <c r="L3" i="8"/>
  <c r="O3" i="8" s="1"/>
  <c r="J19" i="8"/>
  <c r="L19" i="8"/>
  <c r="O19" i="8" s="1"/>
  <c r="J27" i="8"/>
  <c r="L27" i="8"/>
  <c r="O27" i="8" s="1"/>
  <c r="J35" i="8"/>
  <c r="L35" i="8"/>
  <c r="O35" i="8" s="1"/>
  <c r="J51" i="8"/>
  <c r="L51" i="8"/>
  <c r="O51" i="8" s="1"/>
  <c r="J59" i="8"/>
  <c r="L59" i="8"/>
  <c r="O59" i="8" s="1"/>
  <c r="J75" i="8"/>
  <c r="L75" i="8"/>
  <c r="O75" i="8" s="1"/>
  <c r="J83" i="8"/>
  <c r="L83" i="8"/>
  <c r="O83" i="8" s="1"/>
  <c r="J91" i="8"/>
  <c r="L91" i="8"/>
  <c r="O91" i="8" s="1"/>
  <c r="J44" i="8"/>
  <c r="J11" i="8"/>
  <c r="J2" i="6"/>
  <c r="J86" i="6"/>
  <c r="J80" i="6"/>
  <c r="J67" i="6"/>
  <c r="J54" i="6"/>
  <c r="J48" i="6"/>
  <c r="J35" i="6"/>
  <c r="J22" i="6"/>
  <c r="J16" i="6"/>
  <c r="J3" i="6"/>
  <c r="V8" i="6"/>
  <c r="V16" i="6"/>
  <c r="V24" i="6"/>
  <c r="V32" i="6"/>
  <c r="V40" i="6"/>
  <c r="V48" i="6"/>
  <c r="V56" i="6"/>
  <c r="V64" i="6"/>
  <c r="V72" i="6"/>
  <c r="V80" i="6"/>
  <c r="V88" i="6"/>
  <c r="V96" i="6"/>
  <c r="AH6" i="6"/>
  <c r="AH12" i="6"/>
  <c r="AH25" i="6"/>
  <c r="AH38" i="6"/>
  <c r="AH45" i="6"/>
  <c r="AH58" i="6"/>
  <c r="AH64" i="6"/>
  <c r="AH77" i="6"/>
  <c r="AH90" i="6"/>
  <c r="AH96" i="6"/>
  <c r="J92" i="9"/>
  <c r="J85" i="9"/>
  <c r="J72" i="9"/>
  <c r="J59" i="9"/>
  <c r="J53" i="9"/>
  <c r="J40" i="9"/>
  <c r="J33" i="9"/>
  <c r="J8" i="9"/>
  <c r="J92" i="6"/>
  <c r="J79" i="6"/>
  <c r="J66" i="6"/>
  <c r="J60" i="6"/>
  <c r="J47" i="6"/>
  <c r="J34" i="6"/>
  <c r="J28" i="6"/>
  <c r="J15" i="6"/>
  <c r="V9" i="6"/>
  <c r="V17" i="6"/>
  <c r="V25" i="6"/>
  <c r="V33" i="6"/>
  <c r="V41" i="6"/>
  <c r="V49" i="6"/>
  <c r="V57" i="6"/>
  <c r="V65" i="6"/>
  <c r="V73" i="6"/>
  <c r="V81" i="6"/>
  <c r="V89" i="6"/>
  <c r="V97" i="6"/>
  <c r="AH13" i="6"/>
  <c r="AH26" i="6"/>
  <c r="AH32" i="6"/>
  <c r="AH46" i="6"/>
  <c r="AH52" i="6"/>
  <c r="AH65" i="6"/>
  <c r="AH78" i="6"/>
  <c r="AH84" i="6"/>
  <c r="AH97" i="6"/>
  <c r="J91" i="9"/>
  <c r="J71" i="9"/>
  <c r="J52" i="9"/>
  <c r="J39" i="9"/>
  <c r="J32" i="9"/>
  <c r="J12" i="9"/>
  <c r="J45" i="8"/>
  <c r="L45" i="8"/>
  <c r="O45" i="8" s="1"/>
  <c r="J58" i="8"/>
  <c r="J100" i="8"/>
  <c r="L100" i="8"/>
  <c r="O100" i="8" s="1"/>
  <c r="J91" i="6"/>
  <c r="J78" i="6"/>
  <c r="J72" i="6"/>
  <c r="J59" i="6"/>
  <c r="J46" i="6"/>
  <c r="J40" i="6"/>
  <c r="J27" i="6"/>
  <c r="J14" i="6"/>
  <c r="J8" i="6"/>
  <c r="V10" i="6"/>
  <c r="V18" i="6"/>
  <c r="V26" i="6"/>
  <c r="V34" i="6"/>
  <c r="V42" i="6"/>
  <c r="V50" i="6"/>
  <c r="V58" i="6"/>
  <c r="V66" i="6"/>
  <c r="V74" i="6"/>
  <c r="V82" i="6"/>
  <c r="V90" i="6"/>
  <c r="AH14" i="6"/>
  <c r="AH20" i="6"/>
  <c r="AH33" i="6"/>
  <c r="AH40" i="6"/>
  <c r="AH53" i="6"/>
  <c r="AH66" i="6"/>
  <c r="AH72" i="6"/>
  <c r="AH85" i="6"/>
  <c r="J83" i="9"/>
  <c r="J77" i="9"/>
  <c r="J64" i="9"/>
  <c r="J51" i="9"/>
  <c r="J45" i="9"/>
  <c r="J31" i="9"/>
  <c r="J16" i="9"/>
  <c r="J72" i="8"/>
  <c r="J64" i="8"/>
  <c r="J57" i="8"/>
  <c r="J24" i="8"/>
  <c r="J94" i="8"/>
  <c r="J87" i="8"/>
  <c r="J80" i="8"/>
  <c r="J73" i="8"/>
  <c r="J65" i="8"/>
  <c r="J38" i="8"/>
  <c r="J32" i="8"/>
  <c r="J25" i="8"/>
  <c r="J12" i="8"/>
  <c r="J5" i="8"/>
  <c r="J18" i="8"/>
  <c r="J4" i="8"/>
  <c r="J92" i="8"/>
  <c r="J50" i="8"/>
  <c r="J43" i="8"/>
  <c r="J36" i="8"/>
  <c r="J30" i="8"/>
  <c r="J98" i="8"/>
  <c r="J84" i="8"/>
  <c r="J77" i="8"/>
  <c r="J70" i="8"/>
  <c r="J56" i="8"/>
  <c r="J49" i="8"/>
  <c r="J42" i="8"/>
  <c r="J29" i="8"/>
  <c r="J10" i="8"/>
  <c r="J97" i="8"/>
  <c r="J76" i="8"/>
  <c r="J69" i="8"/>
  <c r="J62" i="8"/>
  <c r="J55" i="8"/>
  <c r="J48" i="8"/>
  <c r="J41" i="8"/>
  <c r="J28" i="8"/>
  <c r="J22" i="8"/>
  <c r="J16" i="8"/>
  <c r="J9" i="8"/>
  <c r="J99" i="8"/>
  <c r="J96" i="8"/>
  <c r="J90" i="8"/>
  <c r="J68" i="8"/>
  <c r="J61" i="8"/>
  <c r="J54" i="8"/>
  <c r="J47" i="8"/>
  <c r="J34" i="8"/>
  <c r="J21" i="8"/>
  <c r="J15" i="8"/>
  <c r="J8" i="8"/>
  <c r="J89" i="8"/>
  <c r="J82" i="8"/>
  <c r="J67" i="8"/>
  <c r="J60" i="8"/>
  <c r="J53" i="8"/>
  <c r="J46" i="8"/>
  <c r="J20" i="8"/>
  <c r="J14" i="8"/>
  <c r="J7" i="8"/>
  <c r="J88" i="8"/>
  <c r="J81" i="8"/>
  <c r="J74" i="8"/>
  <c r="J66" i="8"/>
  <c r="J52" i="8"/>
  <c r="J26" i="8"/>
  <c r="J13" i="8"/>
  <c r="J6" i="8"/>
  <c r="J93" i="8"/>
  <c r="J49" i="2"/>
  <c r="J48" i="2"/>
  <c r="AI2" i="6" l="1"/>
  <c r="K2" i="7"/>
  <c r="G14" i="1" s="1"/>
  <c r="K14" i="1" s="1"/>
  <c r="K2" i="6"/>
  <c r="G13" i="1" s="1"/>
  <c r="W2" i="6"/>
  <c r="K2" i="9"/>
  <c r="G16" i="1" s="1"/>
  <c r="K16" i="1" s="1"/>
  <c r="H14" i="1"/>
  <c r="O14" i="1"/>
  <c r="P3" i="8"/>
  <c r="G15" i="1" s="1"/>
  <c r="K3" i="8"/>
  <c r="J97" i="2"/>
  <c r="J96" i="2"/>
  <c r="I50" i="2"/>
  <c r="J50"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I72" i="2"/>
  <c r="J72" i="2" s="1"/>
  <c r="I73" i="2"/>
  <c r="J73" i="2" s="1"/>
  <c r="I74" i="2"/>
  <c r="J74" i="2" s="1"/>
  <c r="I75" i="2"/>
  <c r="J75" i="2" s="1"/>
  <c r="I76" i="2"/>
  <c r="J76" i="2" s="1"/>
  <c r="I77" i="2"/>
  <c r="J77" i="2" s="1"/>
  <c r="I78" i="2"/>
  <c r="J78" i="2" s="1"/>
  <c r="I79" i="2"/>
  <c r="J79" i="2" s="1"/>
  <c r="I80" i="2"/>
  <c r="J80" i="2" s="1"/>
  <c r="I81" i="2"/>
  <c r="J81" i="2" s="1"/>
  <c r="I82" i="2"/>
  <c r="J82" i="2" s="1"/>
  <c r="I83" i="2"/>
  <c r="J83" i="2" s="1"/>
  <c r="I84" i="2"/>
  <c r="J84" i="2" s="1"/>
  <c r="I85" i="2"/>
  <c r="J85" i="2" s="1"/>
  <c r="I86" i="2"/>
  <c r="J86" i="2" s="1"/>
  <c r="I87" i="2"/>
  <c r="J87" i="2" s="1"/>
  <c r="I88" i="2"/>
  <c r="J88" i="2" s="1"/>
  <c r="I89" i="2"/>
  <c r="J89" i="2" s="1"/>
  <c r="I90" i="2"/>
  <c r="J90" i="2" s="1"/>
  <c r="I91" i="2"/>
  <c r="J91" i="2" s="1"/>
  <c r="I92" i="2"/>
  <c r="J92" i="2" s="1"/>
  <c r="I93" i="2"/>
  <c r="J93" i="2" s="1"/>
  <c r="I94" i="2"/>
  <c r="J94" i="2" s="1"/>
  <c r="I95" i="2"/>
  <c r="J95" i="2" s="1"/>
  <c r="H16" i="1" l="1"/>
  <c r="O16" i="1"/>
  <c r="O15" i="1"/>
  <c r="H15" i="1"/>
  <c r="K15" i="1"/>
  <c r="K13" i="1"/>
  <c r="H13" i="1"/>
  <c r="O13" i="1"/>
  <c r="I3" i="2"/>
  <c r="J3" i="2" s="1"/>
  <c r="I4" i="2"/>
  <c r="J4" i="2" s="1"/>
  <c r="I5" i="2"/>
  <c r="J5" i="2" s="1"/>
  <c r="I6" i="2"/>
  <c r="J6" i="2" s="1"/>
  <c r="I7" i="2"/>
  <c r="J7" i="2" s="1"/>
  <c r="I8" i="2"/>
  <c r="J8" i="2" s="1"/>
  <c r="I9" i="2"/>
  <c r="J9" i="2" s="1"/>
  <c r="I10" i="2"/>
  <c r="J10" i="2" s="1"/>
  <c r="I11" i="2"/>
  <c r="J11" i="2" s="1"/>
  <c r="I12" i="2"/>
  <c r="J12" i="2" s="1"/>
  <c r="I13" i="2"/>
  <c r="J13" i="2" s="1"/>
  <c r="I14" i="2"/>
  <c r="J14" i="2" s="1"/>
  <c r="I15" i="2"/>
  <c r="J15" i="2" s="1"/>
  <c r="I16" i="2"/>
  <c r="J16" i="2" s="1"/>
  <c r="I17" i="2"/>
  <c r="J17" i="2" s="1"/>
  <c r="I18" i="2"/>
  <c r="J18"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J34" i="2" s="1"/>
  <c r="I35" i="2"/>
  <c r="J35" i="2" s="1"/>
  <c r="I36" i="2"/>
  <c r="J36" i="2" s="1"/>
  <c r="I37" i="2"/>
  <c r="J37" i="2" s="1"/>
  <c r="I38" i="2"/>
  <c r="J38" i="2" s="1"/>
  <c r="I39" i="2"/>
  <c r="J39" i="2" s="1"/>
  <c r="J40" i="2"/>
  <c r="J41" i="2"/>
  <c r="I42" i="2"/>
  <c r="J42" i="2" s="1"/>
  <c r="I43" i="2"/>
  <c r="J43" i="2" s="1"/>
  <c r="I44" i="2"/>
  <c r="J44" i="2" s="1"/>
  <c r="I45" i="2"/>
  <c r="J45" i="2" s="1"/>
  <c r="I46" i="2"/>
  <c r="J46" i="2" s="1"/>
  <c r="I47" i="2"/>
  <c r="J47" i="2" s="1"/>
  <c r="K2" i="2" l="1"/>
  <c r="G12" i="1" s="1"/>
  <c r="H6" i="1" l="1"/>
  <c r="K12" i="1"/>
  <c r="O12" i="1"/>
  <c r="O19" i="1" s="1"/>
  <c r="H12" i="1"/>
  <c r="K19" i="1" l="1"/>
  <c r="L12" i="1" s="1"/>
  <c r="K20" i="1"/>
  <c r="O20" i="1"/>
  <c r="P12" i="1"/>
  <c r="Q12" i="1" l="1"/>
  <c r="M12" i="1"/>
  <c r="Q15" i="1"/>
  <c r="Q8" i="1"/>
  <c r="Q11" i="1"/>
  <c r="Q7" i="1"/>
  <c r="Q16" i="1"/>
  <c r="Q17" i="1"/>
  <c r="Q6" i="1"/>
  <c r="Q9" i="1"/>
  <c r="Q18" i="1"/>
  <c r="Q14" i="1"/>
  <c r="Q13" i="1"/>
  <c r="P15" i="1"/>
  <c r="P6" i="1"/>
  <c r="P14" i="1"/>
  <c r="P7" i="1"/>
  <c r="P16" i="1"/>
  <c r="P8" i="1"/>
  <c r="P17" i="1"/>
  <c r="P9" i="1"/>
  <c r="P18" i="1"/>
  <c r="P10" i="1"/>
  <c r="P13" i="1"/>
  <c r="L7" i="1"/>
  <c r="L13" i="1"/>
  <c r="L8" i="1"/>
  <c r="L15" i="1"/>
  <c r="L16" i="1"/>
  <c r="L14" i="1"/>
  <c r="L17" i="1"/>
  <c r="L9" i="1"/>
  <c r="L10" i="1"/>
  <c r="L18" i="1"/>
  <c r="L6" i="1"/>
  <c r="M16" i="1"/>
  <c r="M8" i="1"/>
  <c r="M17" i="1"/>
  <c r="M6" i="1"/>
  <c r="M18" i="1"/>
  <c r="M15" i="1"/>
  <c r="M11" i="1"/>
  <c r="M9" i="1"/>
  <c r="M13" i="1"/>
  <c r="M14" i="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tc={4FA9DD21-B852-4125-AF8A-6544BCA2F620}</author>
  </authors>
  <commentList>
    <comment ref="F2" authorId="0" shapeId="0" xr:uid="{4FA9DD21-B852-4125-AF8A-6544BCA2F620}">
      <text>
        <t>[Threaded comment]
Your version of Excel allows you to read this threaded comment; however, any edits to it will get removed if the file is opened in a newer version of Excel. Learn more: https://go.microsoft.com/fwlink/?linkid=870924
Comment:
    @Cathy Crea - noting some hidden columns here. I suggest we unhide everything. That way we are less likely to have something slip our review and we don't give the potential perception of trying to hide somethign.
Reply:
    Sometihng about rounding. Cathy to investigate.</t>
      </text>
    </comment>
  </commentList>
</comments>
</file>

<file path=xl/sharedStrings.xml><?xml version="1.0" encoding="utf-8"?>
<sst xmlns="http://schemas.openxmlformats.org/spreadsheetml/2006/main" count="4431" uniqueCount="698">
  <si>
    <t>Date Prepared</t>
  </si>
  <si>
    <t>File Name</t>
  </si>
  <si>
    <t>MLM Assessment</t>
  </si>
  <si>
    <t>File Description</t>
  </si>
  <si>
    <t>This file presents the calculation of the Mass Discharge of total Table 3+ PFAS to the Cape Fear River by PFAS transport pathway. These calculations primarily use 24-hour composite samples collected from seep and surface water locations along with simultaneous measurements of flow at these locations. These calculations also use grab samples collected from groundwater locations and the mass discharge calculated for onsite groundwater.  The onsite groundwater mass discharge is calculated using the hydraulic gradient and the hydraulic conductivity for the Black Creek Aquifer. The total mass discharge summed for each pathway is compared to the PFAS mass measured at the Tar Heel Ferry Road location and other downstream locations in the Cape Fear River.</t>
  </si>
  <si>
    <t>Tab</t>
  </si>
  <si>
    <t>Description</t>
  </si>
  <si>
    <t>Summary</t>
  </si>
  <si>
    <t>Summary of calculations to estimate mass discharge for each pathway and their relative contribution to the total discharge to the Cape Fear River</t>
  </si>
  <si>
    <t>Total Table 3+ Data</t>
  </si>
  <si>
    <t>Total Table 3+ PFAS concentrations (17 and 20 compounds) based on laboratory results</t>
  </si>
  <si>
    <t>WOHuske</t>
  </si>
  <si>
    <t>Flow rate at W.O.Huske reported by USGS, used to support the estimation of upstream river water and groundwater flow and to support the calculation of mass measured at the Tar Heel Ferry Road location</t>
  </si>
  <si>
    <t>Willis Creek</t>
  </si>
  <si>
    <t>Willis Creek flow data as measured using point velocity method</t>
  </si>
  <si>
    <t>Aerial Deposition</t>
  </si>
  <si>
    <t>Calculation of the mass discharge associated with direct aerial deposition.</t>
  </si>
  <si>
    <t>Outfall 002</t>
  </si>
  <si>
    <t>Measured flow rate for Outfall 002, reported in facility discharge monitoring reports</t>
  </si>
  <si>
    <t>Chemours Intake</t>
  </si>
  <si>
    <t>Measured flow rate for Chemours intake location, used to support the estimation of upstream river water and groundwater flow</t>
  </si>
  <si>
    <t>Onsite GW Summary</t>
  </si>
  <si>
    <t>Summary of calculations to determine mass discharge for the onsite groundwater locations</t>
  </si>
  <si>
    <t>Onsite GW HCond</t>
  </si>
  <si>
    <t>Slug test results to determine hydraulic conductivity for onsite groundwater mass discharge calculations</t>
  </si>
  <si>
    <t>Onsite GW Flow</t>
  </si>
  <si>
    <t>Flow rate calculation for onsite groundwater, used to support the estimation of upstream river water and groundwater flow</t>
  </si>
  <si>
    <t>Seep A</t>
  </si>
  <si>
    <t>Seep A flow data as measured using flumes</t>
  </si>
  <si>
    <t>Seep B</t>
  </si>
  <si>
    <t>Seep B flow data as measured using flumes</t>
  </si>
  <si>
    <t>Seep C</t>
  </si>
  <si>
    <t>Seep C flow data as measured using flumes</t>
  </si>
  <si>
    <t>Seep D</t>
  </si>
  <si>
    <t>Seep D flow data as measured using flumes</t>
  </si>
  <si>
    <t>Old Outfall</t>
  </si>
  <si>
    <t>Old Outfall 002 flow data as measured using flumes</t>
  </si>
  <si>
    <t>AdjDownstreamOffsiteGW</t>
  </si>
  <si>
    <t>Calculation of the scaling factor to estimate the offsite downstream and adjacent groundwater Table 3+ PFAS mass discharge based on upstream Table 3+ PFAS mass discharge.</t>
  </si>
  <si>
    <t>Georgia Branch Creek</t>
  </si>
  <si>
    <t>Georgia Branch Creek flow data as measured using point velocity method</t>
  </si>
  <si>
    <t>CFLockDam1-Kelly</t>
  </si>
  <si>
    <t>Flow rate at Cape Fear Locke #1 reported by USGS, used to support the calculation of PFAS mass measured at the Kings Bluff location</t>
  </si>
  <si>
    <t>Travel Times</t>
  </si>
  <si>
    <t>Results of the Cape Fear River numerical model derived to estiamte travel time as a function of the average river flow.</t>
  </si>
  <si>
    <t>Adjusted River Flows</t>
  </si>
  <si>
    <t>Summary of adjusted river flows based on travel time offsets.</t>
  </si>
  <si>
    <t>Total Table 3+ (17 Compounds)</t>
  </si>
  <si>
    <t>Total Table 3+ (20 Compounds)</t>
  </si>
  <si>
    <t>Pathway</t>
  </si>
  <si>
    <t>Pathway Name</t>
  </si>
  <si>
    <t>Location ID</t>
  </si>
  <si>
    <t>Sample ID</t>
  </si>
  <si>
    <t>Sample Date</t>
  </si>
  <si>
    <t>Sample Time</t>
  </si>
  <si>
    <r>
      <t>Total Flow Volume on Sample Date (gal)</t>
    </r>
    <r>
      <rPr>
        <b/>
        <vertAlign val="superscript"/>
        <sz val="11"/>
        <color theme="1"/>
        <rFont val="Calibri"/>
        <family val="2"/>
        <scheme val="minor"/>
      </rPr>
      <t>1</t>
    </r>
  </si>
  <si>
    <r>
      <t>Total Flow Volume on Sample Date (MG)</t>
    </r>
    <r>
      <rPr>
        <b/>
        <vertAlign val="superscript"/>
        <sz val="11"/>
        <color theme="1"/>
        <rFont val="Calibri"/>
        <family val="2"/>
        <scheme val="minor"/>
      </rPr>
      <t>1</t>
    </r>
  </si>
  <si>
    <r>
      <t>Instantaneous Flow Rate (ft</t>
    </r>
    <r>
      <rPr>
        <b/>
        <vertAlign val="superscript"/>
        <sz val="11"/>
        <color theme="1"/>
        <rFont val="Calibri"/>
        <family val="2"/>
        <scheme val="minor"/>
      </rPr>
      <t>3</t>
    </r>
    <r>
      <rPr>
        <b/>
        <sz val="11"/>
        <color theme="1"/>
        <rFont val="Calibri"/>
        <family val="2"/>
        <scheme val="minor"/>
      </rPr>
      <t>/s)</t>
    </r>
  </si>
  <si>
    <t>Total Table 3+ Concentration (ng/L)</t>
  </si>
  <si>
    <t>Mass Loading (mg/s)</t>
  </si>
  <si>
    <t>Relative Contribution (Lower Bound)</t>
  </si>
  <si>
    <t>Relative Contribution (Upper Bound)</t>
  </si>
  <si>
    <t>--</t>
  </si>
  <si>
    <t>Excess River Water</t>
  </si>
  <si>
    <t>EXCESS RIVER WATER-24-040320</t>
  </si>
  <si>
    <r>
      <t>Upstream River Water and Groundwater</t>
    </r>
    <r>
      <rPr>
        <vertAlign val="superscript"/>
        <sz val="11"/>
        <color theme="1"/>
        <rFont val="Calibri"/>
        <family val="2"/>
        <scheme val="minor"/>
      </rPr>
      <t>2</t>
    </r>
  </si>
  <si>
    <t>CFR-MILE-76</t>
  </si>
  <si>
    <t>CAP1Q20-CFR-RM-76-040220</t>
  </si>
  <si>
    <t>ND</t>
  </si>
  <si>
    <t>WC-1</t>
  </si>
  <si>
    <t>CAP1Q20-WC-1-24-040320</t>
  </si>
  <si>
    <t>Aerial Deposition on Water Features</t>
  </si>
  <si>
    <r>
      <t>Outfall 002</t>
    </r>
    <r>
      <rPr>
        <vertAlign val="superscript"/>
        <sz val="11"/>
        <color theme="1"/>
        <rFont val="Calibri"/>
        <family val="2"/>
        <scheme val="minor"/>
      </rPr>
      <t>3</t>
    </r>
  </si>
  <si>
    <t>OUTFALL 002</t>
  </si>
  <si>
    <t>O2400402</t>
  </si>
  <si>
    <r>
      <t>Onsite Groundwater (Lower Bound)</t>
    </r>
    <r>
      <rPr>
        <vertAlign val="superscript"/>
        <sz val="11"/>
        <color theme="1"/>
        <rFont val="Calibri"/>
        <family val="2"/>
        <scheme val="minor"/>
      </rPr>
      <t>4</t>
    </r>
  </si>
  <si>
    <r>
      <t>Onsite Groundwater (Upper Bound)</t>
    </r>
    <r>
      <rPr>
        <vertAlign val="superscript"/>
        <sz val="11"/>
        <color theme="1"/>
        <rFont val="Calibri"/>
        <family val="2"/>
        <scheme val="minor"/>
      </rPr>
      <t>4</t>
    </r>
  </si>
  <si>
    <t>6A</t>
  </si>
  <si>
    <t>SEEP-A</t>
  </si>
  <si>
    <t>CAP1Q20-SEEP-A-24-040320</t>
  </si>
  <si>
    <t>6B</t>
  </si>
  <si>
    <t>SEEP-B</t>
  </si>
  <si>
    <t>CAP1Q20-SEEP-B-24-040320</t>
  </si>
  <si>
    <t>6C</t>
  </si>
  <si>
    <t>SEEP-C</t>
  </si>
  <si>
    <t>CAP1Q20-SEEP-C-24-040320</t>
  </si>
  <si>
    <t>6D</t>
  </si>
  <si>
    <r>
      <t>Seep D</t>
    </r>
    <r>
      <rPr>
        <vertAlign val="superscript"/>
        <sz val="11"/>
        <color theme="1"/>
        <rFont val="Calibri"/>
        <family val="2"/>
        <scheme val="minor"/>
      </rPr>
      <t>5</t>
    </r>
  </si>
  <si>
    <t>SEEP-D</t>
  </si>
  <si>
    <t>CAP1Q20-SEEP-D-24-040320</t>
  </si>
  <si>
    <t>Old Outfall 002</t>
  </si>
  <si>
    <t>OLDOF-1</t>
  </si>
  <si>
    <t>CAP1Q20-OLDOF-1-24-040320</t>
  </si>
  <si>
    <t>Offsite Adjacent and Downstream Groundwater</t>
  </si>
  <si>
    <t>GBC-1</t>
  </si>
  <si>
    <t>CAP1Q20-GBC-1-040220</t>
  </si>
  <si>
    <t>Calculated Total Table 3+ Loading (mg/s) at Tar Heel (Lower Bound)</t>
  </si>
  <si>
    <t>Calculated Total Table 3+ Loading (mg/s) at Tar Heel (Upper Bound)</t>
  </si>
  <si>
    <t>Measured Total Table 3+ Loading (mg/s) at Tar Heel (Composite Sample)</t>
  </si>
  <si>
    <t>CFR-TARHEEL</t>
  </si>
  <si>
    <t>CAP1Q20-CFR-TARHEEL-24-040320</t>
  </si>
  <si>
    <t>Measured Total Table 3+ Loading (mg/s) at Tar Heel (Grab Sample)</t>
  </si>
  <si>
    <t>CAP1Q20-CFR-TARHEEL-040220</t>
  </si>
  <si>
    <t>Measured Total Table 3+ Loading (mg/s) at Bladen Bluff (Grab Sample)</t>
  </si>
  <si>
    <t>CFR-BLADEN</t>
  </si>
  <si>
    <t>CAP1Q20-CFR-BLADEN-040220</t>
  </si>
  <si>
    <t>Measured Total Table 3+ Loading (mg/s) at Kings Bluff (Grab Sample)</t>
  </si>
  <si>
    <t>CFR-KINGS</t>
  </si>
  <si>
    <t>CAP1Q20-CFR-KINGS-040620</t>
  </si>
  <si>
    <t>Notes:</t>
  </si>
  <si>
    <t xml:space="preserve">1 - Total flow volume is determined based on measurements taken over 24-hour sample collection period for all locations except Georgia Branch Creek and Willis Creek. At these locations, the total flow volume was estimated based on the instantaneous flow measurement. </t>
  </si>
  <si>
    <t>2 - The volumetric flow rate for upstream river water and groundwater was estimated by subtracting inflows from Willis Creek, upwelling groundwater, seeps to the river, and Outfall 002 and by adding the river water intake from Chemours to the flow rate measurement from the W.O. Huske Dam.</t>
  </si>
  <si>
    <t xml:space="preserve">3 - Total table 3+ concentrations at the Intake River Water at Facility location are subtracted from Outfall 002 concentrations to compute the mass discharge at Outfall 002. </t>
  </si>
  <si>
    <t>4 - Mass Discharge for Onsite Groundwater was determined using calculations described in Appendix H. The lower and upper bounds on the mass discharge were calculated using the minimum and geometric mean hydraulic conductivity in the Black Creek Aquifer as described in Appendix H.</t>
  </si>
  <si>
    <t xml:space="preserve">5 - The maximum flow rate that can be accurately measured for the flume installed at Seep D is 120 GPM. This maximum flow rate was assumed any time the measured water level  indicated a flow rate greater than 120 GPM. A larger flume was installed at Seep D after this sampling event. </t>
  </si>
  <si>
    <t>ND - No Table 3+ compounds were detected above the associated reporting limits</t>
  </si>
  <si>
    <t>Station</t>
  </si>
  <si>
    <t>Location</t>
  </si>
  <si>
    <t>Distance Along Measured Cross Section</t>
  </si>
  <si>
    <t>Measured Water Column Depth</t>
  </si>
  <si>
    <r>
      <t>Calculated Creek Cell Area</t>
    </r>
    <r>
      <rPr>
        <b/>
        <vertAlign val="superscript"/>
        <sz val="10"/>
        <color theme="1"/>
        <rFont val="Times New Roman"/>
        <family val="1"/>
      </rPr>
      <t>2</t>
    </r>
  </si>
  <si>
    <t>Measured Creek Velocity</t>
  </si>
  <si>
    <r>
      <t>Calculated Discharge Through Creek Cell Area</t>
    </r>
    <r>
      <rPr>
        <b/>
        <vertAlign val="superscript"/>
        <sz val="10"/>
        <color theme="1"/>
        <rFont val="Times New Roman"/>
        <family val="1"/>
      </rPr>
      <t>1</t>
    </r>
  </si>
  <si>
    <t>Comments</t>
  </si>
  <si>
    <t>(ft)</t>
  </si>
  <si>
    <t>(in)</t>
  </si>
  <si>
    <r>
      <t>(ft</t>
    </r>
    <r>
      <rPr>
        <b/>
        <vertAlign val="superscript"/>
        <sz val="10"/>
        <color theme="1"/>
        <rFont val="Times New Roman"/>
        <family val="1"/>
      </rPr>
      <t>2</t>
    </r>
    <r>
      <rPr>
        <b/>
        <sz val="10"/>
        <color theme="1"/>
        <rFont val="Times New Roman"/>
        <family val="1"/>
      </rPr>
      <t>)</t>
    </r>
  </si>
  <si>
    <t>(ft/s)</t>
  </si>
  <si>
    <r>
      <t>(ft</t>
    </r>
    <r>
      <rPr>
        <b/>
        <vertAlign val="superscript"/>
        <sz val="10"/>
        <color theme="1"/>
        <rFont val="Times New Roman"/>
        <family val="1"/>
      </rPr>
      <t>3</t>
    </r>
    <r>
      <rPr>
        <b/>
        <sz val="10"/>
        <color theme="1"/>
        <rFont val="Times New Roman"/>
        <family val="1"/>
      </rPr>
      <t>/s)</t>
    </r>
  </si>
  <si>
    <t>South bank</t>
  </si>
  <si>
    <t>-</t>
  </si>
  <si>
    <t>bottom</t>
  </si>
  <si>
    <t>Assume area at A is triangular and creek cross section area is trapezoidal</t>
  </si>
  <si>
    <t>middle</t>
  </si>
  <si>
    <t>top</t>
  </si>
  <si>
    <t>North bank</t>
  </si>
  <si>
    <t>Total Volumetric Discharge</t>
  </si>
  <si>
    <t>Associated Measurement Notes</t>
  </si>
  <si>
    <t>Location: Chemours Fayetteville</t>
  </si>
  <si>
    <t>(gpm)</t>
  </si>
  <si>
    <t>Station: Georgia Branch 01 (SW-GB-01)</t>
  </si>
  <si>
    <t>(L/s)</t>
  </si>
  <si>
    <t>Date: 02 April 2020</t>
  </si>
  <si>
    <t>Acronyms</t>
  </si>
  <si>
    <t>- - data not measured or calculated</t>
  </si>
  <si>
    <t>ft - feet</t>
  </si>
  <si>
    <r>
      <t>ft</t>
    </r>
    <r>
      <rPr>
        <vertAlign val="superscript"/>
        <sz val="9"/>
        <color theme="1"/>
        <rFont val="Times New Roman"/>
        <family val="1"/>
      </rPr>
      <t>2</t>
    </r>
    <r>
      <rPr>
        <sz val="9"/>
        <color theme="1"/>
        <rFont val="Times New Roman"/>
        <family val="1"/>
      </rPr>
      <t xml:space="preserve"> - square feet</t>
    </r>
  </si>
  <si>
    <r>
      <t>ft</t>
    </r>
    <r>
      <rPr>
        <vertAlign val="superscript"/>
        <sz val="9"/>
        <color theme="1"/>
        <rFont val="Times New Roman"/>
        <family val="1"/>
      </rPr>
      <t>3</t>
    </r>
    <r>
      <rPr>
        <sz val="9"/>
        <color theme="1"/>
        <rFont val="Times New Roman"/>
        <family val="1"/>
      </rPr>
      <t>/s - cubic feet per second</t>
    </r>
  </si>
  <si>
    <t>gpm - gallons per minute</t>
  </si>
  <si>
    <t>Notes</t>
  </si>
  <si>
    <r>
      <rPr>
        <vertAlign val="superscript"/>
        <sz val="9"/>
        <color theme="1"/>
        <rFont val="Times New Roman"/>
        <family val="1"/>
      </rPr>
      <t>1</t>
    </r>
    <r>
      <rPr>
        <sz val="9"/>
        <color theme="1"/>
        <rFont val="Times New Roman"/>
        <family val="1"/>
      </rPr>
      <t xml:space="preserve"> Discharge is calculated as product of creek velocity measured at the mid-depth (feet per second) times the cross sectional area of each measurement cell. </t>
    </r>
  </si>
  <si>
    <r>
      <rPr>
        <vertAlign val="superscript"/>
        <sz val="9"/>
        <color theme="1"/>
        <rFont val="Times New Roman"/>
        <family val="1"/>
      </rPr>
      <t>2</t>
    </r>
    <r>
      <rPr>
        <sz val="9"/>
        <color theme="1"/>
        <rFont val="Times New Roman"/>
        <family val="1"/>
      </rPr>
      <t xml:space="preserve"> Measurement cell areas are calculated assuming a trapezoidal geometry based on distances between Measurement points and the measured water column depths. A measurement cell is an areal section from the width of the river channel. </t>
    </r>
  </si>
  <si>
    <r>
      <rPr>
        <vertAlign val="superscript"/>
        <sz val="9"/>
        <color theme="1"/>
        <rFont val="Times New Roman"/>
        <family val="1"/>
      </rPr>
      <t>3</t>
    </r>
    <r>
      <rPr>
        <sz val="9"/>
        <color theme="1"/>
        <rFont val="Times New Roman"/>
        <family val="1"/>
      </rPr>
      <t xml:space="preserve"> Discharge calculations do not include values for cells where negative flows were measured. </t>
    </r>
  </si>
  <si>
    <t>Time: 15:22</t>
  </si>
  <si>
    <t>Staff: CM, CP</t>
  </si>
  <si>
    <t>Assume that the initial and final depths to water were taken near the middle of the river 10 ft from the edge</t>
  </si>
  <si>
    <t xml:space="preserve">The reason for the low flow is because there is a blockage in the culvert that is creating a damming effect. </t>
  </si>
  <si>
    <t>All Table 3+</t>
  </si>
  <si>
    <t>Table 3+ without BP4, BP5, and R-EVE</t>
  </si>
  <si>
    <t>Program</t>
  </si>
  <si>
    <t>LocID</t>
  </si>
  <si>
    <t>Field Sample ID</t>
  </si>
  <si>
    <t>Analyte</t>
  </si>
  <si>
    <t>Sample Purpose</t>
  </si>
  <si>
    <t>sample date</t>
  </si>
  <si>
    <t>TotalRes_ngL</t>
  </si>
  <si>
    <t>Total Table 3+ (ng/L)</t>
  </si>
  <si>
    <t>CountOfParameter Name</t>
  </si>
  <si>
    <t>Comment</t>
  </si>
  <si>
    <t>Q1 2020 CAP MW Sampling</t>
  </si>
  <si>
    <t>BLADEN-1D</t>
  </si>
  <si>
    <t>CAP1Q20-BLADEN-1D-021120</t>
  </si>
  <si>
    <t>TotalTable3</t>
  </si>
  <si>
    <t>FS</t>
  </si>
  <si>
    <t>LTW-01</t>
  </si>
  <si>
    <t>CAP1Q20-LTW-01-022420</t>
  </si>
  <si>
    <t>LTW-02</t>
  </si>
  <si>
    <t>CAP1Q20-LTW-02-022420</t>
  </si>
  <si>
    <t>LTW-03</t>
  </si>
  <si>
    <t>CAP1Q20-LTW-03-022520</t>
  </si>
  <si>
    <t>CAP1Q20-LTW-03-022520-D</t>
  </si>
  <si>
    <t>DUP</t>
  </si>
  <si>
    <t>LTW-04</t>
  </si>
  <si>
    <t>CAP1Q20-LTW-04-022020</t>
  </si>
  <si>
    <t>LTW-05</t>
  </si>
  <si>
    <t>CAP1Q20-LTW-05-021920</t>
  </si>
  <si>
    <t>PIW-1D</t>
  </si>
  <si>
    <t>CAP1Q20-PIW-1D-021420</t>
  </si>
  <si>
    <t>PIW-1S</t>
  </si>
  <si>
    <t>CAP1Q20-PIW-1S-021320</t>
  </si>
  <si>
    <t>PIW-3D</t>
  </si>
  <si>
    <t>CAP1Q20-PIW-3D-022420</t>
  </si>
  <si>
    <t>PIW-7D</t>
  </si>
  <si>
    <t>CAP1Q20-PIW-7D-021920</t>
  </si>
  <si>
    <t>PIW-7S</t>
  </si>
  <si>
    <t>CAP1Q20-PIW-7S-021920</t>
  </si>
  <si>
    <t>PW-04</t>
  </si>
  <si>
    <t>CAP1Q20-PW-04-021120</t>
  </si>
  <si>
    <t>PW-06</t>
  </si>
  <si>
    <t>CAP1Q20-PW-06-020620</t>
  </si>
  <si>
    <t>PW-07</t>
  </si>
  <si>
    <t>CAP1Q20-PW-07-021420</t>
  </si>
  <si>
    <t>PW-09</t>
  </si>
  <si>
    <t>CAP1Q20-PW-09-021220</t>
  </si>
  <si>
    <t>PW-11</t>
  </si>
  <si>
    <t>CAP1Q20-PW-11-021320</t>
  </si>
  <si>
    <t>PZ-22</t>
  </si>
  <si>
    <t>CAP1Q20-PZ-22-022020</t>
  </si>
  <si>
    <t>SMW-10</t>
  </si>
  <si>
    <t>CAP1Q20-SMW-10-021020</t>
  </si>
  <si>
    <t>CAP1Q20-SMW-10-021020-D</t>
  </si>
  <si>
    <t>SMW-11</t>
  </si>
  <si>
    <t>CAP1Q20-SMW-11-021120</t>
  </si>
  <si>
    <t>SMW-12</t>
  </si>
  <si>
    <t>CAP1Q20-SMW-12-021220</t>
  </si>
  <si>
    <t>Q1 2020 CAP SW Sampling</t>
  </si>
  <si>
    <t>CAP1Q20-CFR-BLADEN-040220-D</t>
  </si>
  <si>
    <t>CAP1Q20-OUTFALL 002-040320</t>
  </si>
  <si>
    <t># ---------------------------------- WARNING ----------------------------------------</t>
  </si>
  <si>
    <t># Some of the data that you have obtained from this U.S. Geological Survey database</t>
  </si>
  <si>
    <t># may not have received Director's approval. Any such data values are qualified</t>
  </si>
  <si>
    <t># as provisional and are subject to revision. Provisional data are released on the</t>
  </si>
  <si>
    <t># condition that neither the USGS nor the United States Government may be held liable</t>
  </si>
  <si>
    <t># for any damages resulting from its use.</t>
  </si>
  <si>
    <t>#</t>
  </si>
  <si>
    <t># Additional info: https://help.waterdata.usgs.gov/policies/provisional-data-statement</t>
  </si>
  <si>
    <t># File-format description:  https://help.waterdata.usgs.gov/faq/about-tab-delimited-output</t>
  </si>
  <si>
    <t># Automated-retrieval info: https://help.waterdata.usgs.gov/faq/automated-retrievals</t>
  </si>
  <si>
    <t># Contact:   gs-w_support_nwisweb@usgs.gov</t>
  </si>
  <si>
    <t># retrieved: 2020-06-15 14:46:08 EDT       (caww02)</t>
  </si>
  <si>
    <t># Data for the following 1 site(s) are contained in this file</t>
  </si>
  <si>
    <t>#    USGS 02105500 CAPE FEAR R AT WILM O HUSKE LOCK NR TARHEEL, NC</t>
  </si>
  <si>
    <t># -----------------------------------------------------------------------------------</t>
  </si>
  <si>
    <t># Data provided for site 02105500</t>
  </si>
  <si>
    <t>#            TS   parameter     Description</t>
  </si>
  <si>
    <t>#         89678       00060     Discharge, cubic feet per second</t>
  </si>
  <si>
    <t>#         89679       00065     Gage height, feet</t>
  </si>
  <si>
    <t>#         89684       00045     Precipitation, total, inches</t>
  </si>
  <si>
    <t># Data-value qualification codes included in this output:</t>
  </si>
  <si>
    <t>#     A  Approved for publication -- Processing and review completed.</t>
  </si>
  <si>
    <t>#     P  Provisional data subject to revision.</t>
  </si>
  <si>
    <t xml:space="preserve"># </t>
  </si>
  <si>
    <t>agency_cd       site_no datetime        tz_cd   89678_00060     89678_00060_cd  89679_00065     89679_00065_cd  89684_00045     89684_00045_cd</t>
  </si>
  <si>
    <t>5s      15s     20d     6s      14n     10s     14n     10s     14n     10s</t>
  </si>
  <si>
    <t>Date</t>
  </si>
  <si>
    <t>Time</t>
  </si>
  <si>
    <t>discharge (ft3/sec)</t>
  </si>
  <si>
    <t>gage height (ft)</t>
  </si>
  <si>
    <t>precipitation (inches)</t>
  </si>
  <si>
    <t>Seconds</t>
  </si>
  <si>
    <t>USGS</t>
  </si>
  <si>
    <t>EDT</t>
  </si>
  <si>
    <t>P</t>
  </si>
  <si>
    <t>A</t>
  </si>
  <si>
    <t>Measurement Point</t>
  </si>
  <si>
    <t>Eastern bank</t>
  </si>
  <si>
    <t>Bottom of creek</t>
  </si>
  <si>
    <t>middle of creek</t>
  </si>
  <si>
    <t>top of creek</t>
  </si>
  <si>
    <t>Eastern bank of creek</t>
  </si>
  <si>
    <t>Station: Willis Creek 01 (SW-WC-01)</t>
  </si>
  <si>
    <t>Date: 03 April 2020</t>
  </si>
  <si>
    <r>
      <rPr>
        <vertAlign val="superscript"/>
        <sz val="9"/>
        <color theme="1"/>
        <rFont val="Times New Roman"/>
        <family val="1"/>
      </rPr>
      <t>3</t>
    </r>
    <r>
      <rPr>
        <sz val="9"/>
        <color theme="1"/>
        <rFont val="Times New Roman"/>
        <family val="1"/>
      </rPr>
      <t xml:space="preserve"> Data for culvert edge points are extrapolated from adjacent locations (A and O). </t>
    </r>
  </si>
  <si>
    <t xml:space="preserve">Step 1: Determine the net hourly deposition rate from the ERM, 2018 report.  </t>
  </si>
  <si>
    <t>Modeled air deposition contours for October 2018 from ERM, 2018 report.</t>
  </si>
  <si>
    <t>Air Loading (ug/m2)</t>
  </si>
  <si>
    <t>Air Loading (ng/m2)</t>
  </si>
  <si>
    <t>Time
(years)</t>
  </si>
  <si>
    <t>Time
(hours)</t>
  </si>
  <si>
    <t>Net Hourly Deposition Rate (ng/m2/hr)</t>
  </si>
  <si>
    <t xml:space="preserve">Step 2: The average width of the Cape Fear River is calculated based on the following 18 segments, as shown in the image to the right. </t>
  </si>
  <si>
    <t>Calculation for average river width</t>
  </si>
  <si>
    <t>XS 619506</t>
  </si>
  <si>
    <t>XS 614224</t>
  </si>
  <si>
    <t>ID</t>
  </si>
  <si>
    <t>X</t>
  </si>
  <si>
    <t>Y</t>
  </si>
  <si>
    <t>Z</t>
  </si>
  <si>
    <t>Distance (ft)</t>
  </si>
  <si>
    <t>XS 616535</t>
  </si>
  <si>
    <t>XS 613542</t>
  </si>
  <si>
    <t>XS 614517</t>
  </si>
  <si>
    <t>Excluded from average calculation (blocking dam)</t>
  </si>
  <si>
    <t>XS 610240</t>
  </si>
  <si>
    <t>Excluded from average calculation (not accurate)</t>
  </si>
  <si>
    <t>XS 612082</t>
  </si>
  <si>
    <t>XS 606667</t>
  </si>
  <si>
    <t>FID</t>
  </si>
  <si>
    <t>XS 608468</t>
  </si>
  <si>
    <t>XS 600052</t>
  </si>
  <si>
    <t>XS 604474</t>
  </si>
  <si>
    <t>XS 597968</t>
  </si>
  <si>
    <t>XS 602061</t>
  </si>
  <si>
    <t>XS 594185</t>
  </si>
  <si>
    <t>XS 596259</t>
  </si>
  <si>
    <t>XS 587968</t>
  </si>
  <si>
    <t>XS 591595</t>
  </si>
  <si>
    <t>XS 590322</t>
  </si>
  <si>
    <t>*Average =</t>
  </si>
  <si>
    <t>*Average river width might be over estimated to account for river level at flooding times.</t>
  </si>
  <si>
    <t xml:space="preserve">Step 3: River discharges are obtained for the date(s) that the sampling event occurred from the USGS website and averaged. </t>
  </si>
  <si>
    <t>W.O. Huske Dam, ID 02105500 (USGS, 2020)</t>
  </si>
  <si>
    <r>
      <t>USGS Reported Average Discharge</t>
    </r>
    <r>
      <rPr>
        <b/>
        <vertAlign val="superscript"/>
        <sz val="10"/>
        <color theme="1"/>
        <rFont val="Times New Roman"/>
        <family val="1"/>
      </rPr>
      <t>1</t>
    </r>
    <r>
      <rPr>
        <b/>
        <sz val="10"/>
        <color theme="1"/>
        <rFont val="Times New Roman"/>
        <family val="1"/>
      </rPr>
      <t xml:space="preserve"> 
(cfs)</t>
    </r>
  </si>
  <si>
    <r>
      <t>USGS Reported Average Gage Height</t>
    </r>
    <r>
      <rPr>
        <b/>
        <vertAlign val="superscript"/>
        <sz val="10"/>
        <color theme="1"/>
        <rFont val="Times New Roman"/>
        <family val="1"/>
      </rPr>
      <t>1</t>
    </r>
    <r>
      <rPr>
        <b/>
        <sz val="10"/>
        <color theme="1"/>
        <rFont val="Times New Roman"/>
        <family val="1"/>
      </rPr>
      <t xml:space="preserve"> (ft)</t>
    </r>
  </si>
  <si>
    <r>
      <t>USGS Reported Total Precipitation</t>
    </r>
    <r>
      <rPr>
        <b/>
        <vertAlign val="superscript"/>
        <sz val="10"/>
        <color theme="1"/>
        <rFont val="Times New Roman"/>
        <family val="1"/>
      </rPr>
      <t>1,2</t>
    </r>
    <r>
      <rPr>
        <b/>
        <sz val="10"/>
        <color theme="1"/>
        <rFont val="Times New Roman"/>
        <family val="1"/>
      </rPr>
      <t xml:space="preserve"> (inches)</t>
    </r>
  </si>
  <si>
    <t>USGS Reported Average Discharge (L/s)</t>
  </si>
  <si>
    <t>Measured River Width (ft)</t>
  </si>
  <si>
    <t>Estimated River Depth  (ft)</t>
  </si>
  <si>
    <r>
      <t>Z Value</t>
    </r>
    <r>
      <rPr>
        <b/>
        <vertAlign val="superscript"/>
        <sz val="10"/>
        <color theme="1"/>
        <rFont val="Times New Roman"/>
        <family val="1"/>
      </rPr>
      <t>3</t>
    </r>
  </si>
  <si>
    <r>
      <t>Calculated Total Cross Sectional Area (ft</t>
    </r>
    <r>
      <rPr>
        <b/>
        <vertAlign val="superscript"/>
        <sz val="10"/>
        <color theme="1"/>
        <rFont val="Times New Roman"/>
        <family val="1"/>
      </rPr>
      <t>2</t>
    </r>
    <r>
      <rPr>
        <b/>
        <sz val="10"/>
        <color theme="1"/>
        <rFont val="Times New Roman"/>
        <family val="1"/>
      </rPr>
      <t>)</t>
    </r>
  </si>
  <si>
    <t>Calculated River Velocity (ft/s)</t>
  </si>
  <si>
    <t>Average River Velocity:</t>
  </si>
  <si>
    <t xml:space="preserve">Step 4: Calculate scaling factor - use average ratio of HFPO-DA concentrations to Total Table 3+ concentrations. </t>
  </si>
  <si>
    <t>RATIO OF OTHER PFAS COMPOUNDS TO HFPO-DA</t>
  </si>
  <si>
    <t>SEEP-E</t>
  </si>
  <si>
    <t>SEEP-F</t>
  </si>
  <si>
    <t>SEEP-G</t>
  </si>
  <si>
    <t>SEEP-H</t>
  </si>
  <si>
    <t>SEEP-I</t>
  </si>
  <si>
    <t>SEEP-J</t>
  </si>
  <si>
    <t>SEEP-K</t>
  </si>
  <si>
    <t>SEEP-L</t>
  </si>
  <si>
    <t>SEEP-M</t>
  </si>
  <si>
    <t>SEEP-E-0930</t>
  </si>
  <si>
    <t>Seep E-030420</t>
  </si>
  <si>
    <t>SEEP-F-0923</t>
  </si>
  <si>
    <t>Seep F-030420</t>
  </si>
  <si>
    <t>SEEP-G-0911</t>
  </si>
  <si>
    <t>Seep G-030420</t>
  </si>
  <si>
    <t>SEEP-H-0905</t>
  </si>
  <si>
    <t>Seep H-030420</t>
  </si>
  <si>
    <t>SEEP-I-0856</t>
  </si>
  <si>
    <t>Seep I-030420</t>
  </si>
  <si>
    <t>SEEP-J-0843</t>
  </si>
  <si>
    <t>Seep J-030420</t>
  </si>
  <si>
    <t>SEEP-K-0835</t>
  </si>
  <si>
    <t>Seep K-030420</t>
  </si>
  <si>
    <t>SEEP-L-0825</t>
  </si>
  <si>
    <t>SEEP-M-0818</t>
  </si>
  <si>
    <t>QA/QC</t>
  </si>
  <si>
    <t>Sample Delivery Group (SDG)</t>
  </si>
  <si>
    <t>320-55576-1</t>
  </si>
  <si>
    <t>2091227</t>
  </si>
  <si>
    <t>Lab Sample ID</t>
  </si>
  <si>
    <t>1274949</t>
  </si>
  <si>
    <t>320-55576-2</t>
  </si>
  <si>
    <t>1274953</t>
  </si>
  <si>
    <t>320-55576-3</t>
  </si>
  <si>
    <t>1274957</t>
  </si>
  <si>
    <t>320-55576-4</t>
  </si>
  <si>
    <t>1274961</t>
  </si>
  <si>
    <t>320-55576-5</t>
  </si>
  <si>
    <t>1274965</t>
  </si>
  <si>
    <t>320-55576-6</t>
  </si>
  <si>
    <t>1274969</t>
  </si>
  <si>
    <t>320-55576-7</t>
  </si>
  <si>
    <t>1274973</t>
  </si>
  <si>
    <t>320-55576-8</t>
  </si>
  <si>
    <t>320-55576-9</t>
  </si>
  <si>
    <t>Table 3+ SOP (ng/L)</t>
  </si>
  <si>
    <t>Hfpo Dimer Acid</t>
  </si>
  <si>
    <t>1,200</t>
  </si>
  <si>
    <t>950</t>
  </si>
  <si>
    <t>1,100</t>
  </si>
  <si>
    <t>700</t>
  </si>
  <si>
    <t>730</t>
  </si>
  <si>
    <t>550</t>
  </si>
  <si>
    <t>540</t>
  </si>
  <si>
    <t>570</t>
  </si>
  <si>
    <t>470</t>
  </si>
  <si>
    <t>580</t>
  </si>
  <si>
    <t>250</t>
  </si>
  <si>
    <t>640</t>
  </si>
  <si>
    <t>490</t>
  </si>
  <si>
    <t>520</t>
  </si>
  <si>
    <t>PFMOAA</t>
  </si>
  <si>
    <t>480 J</t>
  </si>
  <si>
    <t>390</t>
  </si>
  <si>
    <t>900</t>
  </si>
  <si>
    <t>190</t>
  </si>
  <si>
    <t>220</t>
  </si>
  <si>
    <t>140</t>
  </si>
  <si>
    <t>180</t>
  </si>
  <si>
    <t>130</t>
  </si>
  <si>
    <t>200</t>
  </si>
  <si>
    <t>180 J</t>
  </si>
  <si>
    <t>160</t>
  </si>
  <si>
    <t>210</t>
  </si>
  <si>
    <t>100</t>
  </si>
  <si>
    <t>PFO2HxA</t>
  </si>
  <si>
    <t>800</t>
  </si>
  <si>
    <t>810</t>
  </si>
  <si>
    <t>410</t>
  </si>
  <si>
    <t>350</t>
  </si>
  <si>
    <t>330</t>
  </si>
  <si>
    <t>300</t>
  </si>
  <si>
    <t>280</t>
  </si>
  <si>
    <t>350 J</t>
  </si>
  <si>
    <t>320</t>
  </si>
  <si>
    <t>230</t>
  </si>
  <si>
    <t>PFO3OA</t>
  </si>
  <si>
    <t>170</t>
  </si>
  <si>
    <t>83</t>
  </si>
  <si>
    <t>110</t>
  </si>
  <si>
    <t>57</t>
  </si>
  <si>
    <t>56</t>
  </si>
  <si>
    <t>28</t>
  </si>
  <si>
    <t>30</t>
  </si>
  <si>
    <t>17</t>
  </si>
  <si>
    <t>18</t>
  </si>
  <si>
    <t>120 J</t>
  </si>
  <si>
    <t>16</t>
  </si>
  <si>
    <t>41</t>
  </si>
  <si>
    <t>15</t>
  </si>
  <si>
    <t>PFO4DA</t>
  </si>
  <si>
    <t>7.3</t>
  </si>
  <si>
    <t>9.1</t>
  </si>
  <si>
    <t>9</t>
  </si>
  <si>
    <t>7.9</t>
  </si>
  <si>
    <t>&lt;2</t>
  </si>
  <si>
    <t>58</t>
  </si>
  <si>
    <t>4.7</t>
  </si>
  <si>
    <t>11</t>
  </si>
  <si>
    <t>5</t>
  </si>
  <si>
    <t>2.7</t>
  </si>
  <si>
    <t>PFO5DA</t>
  </si>
  <si>
    <t>46</t>
  </si>
  <si>
    <t>20 J</t>
  </si>
  <si>
    <t>2.2</t>
  </si>
  <si>
    <t>4.8</t>
  </si>
  <si>
    <t>PMPA</t>
  </si>
  <si>
    <t>2,300</t>
  </si>
  <si>
    <t>1,800</t>
  </si>
  <si>
    <t>2,800</t>
  </si>
  <si>
    <t>2,100</t>
  </si>
  <si>
    <t>1,500</t>
  </si>
  <si>
    <t>810 J</t>
  </si>
  <si>
    <t>660</t>
  </si>
  <si>
    <t>1,300</t>
  </si>
  <si>
    <t>1,000</t>
  </si>
  <si>
    <t>PEPA</t>
  </si>
  <si>
    <t>710</t>
  </si>
  <si>
    <t>600</t>
  </si>
  <si>
    <t>870</t>
  </si>
  <si>
    <t>360</t>
  </si>
  <si>
    <t>260</t>
  </si>
  <si>
    <t>400</t>
  </si>
  <si>
    <t>PS Acid (Formerly PFESA-BP1)</t>
  </si>
  <si>
    <t>Hydro-PS Acid (Formerly PFESA-BP2)</t>
  </si>
  <si>
    <t>90</t>
  </si>
  <si>
    <t>24</t>
  </si>
  <si>
    <t>9.6</t>
  </si>
  <si>
    <t>10</t>
  </si>
  <si>
    <t>22</t>
  </si>
  <si>
    <t>9.3</t>
  </si>
  <si>
    <t>12</t>
  </si>
  <si>
    <t>37</t>
  </si>
  <si>
    <t>6.9</t>
  </si>
  <si>
    <t>70</t>
  </si>
  <si>
    <t>44</t>
  </si>
  <si>
    <t>R-PSDA (Formerly Byproduct 4)</t>
  </si>
  <si>
    <t>220 J</t>
  </si>
  <si>
    <t>53 J</t>
  </si>
  <si>
    <t>92</t>
  </si>
  <si>
    <t>68 J</t>
  </si>
  <si>
    <t>79 J</t>
  </si>
  <si>
    <t>44 J</t>
  </si>
  <si>
    <t>39 J</t>
  </si>
  <si>
    <t>30 J</t>
  </si>
  <si>
    <t>36</t>
  </si>
  <si>
    <t>110 J</t>
  </si>
  <si>
    <t>23</t>
  </si>
  <si>
    <t>130 J</t>
  </si>
  <si>
    <t>49</t>
  </si>
  <si>
    <t>78 J</t>
  </si>
  <si>
    <t>Hydrolyzed PSDA (Formerly Byproduct 5)</t>
  </si>
  <si>
    <t>2.1 J</t>
  </si>
  <si>
    <t>&lt;2.9</t>
  </si>
  <si>
    <t>R-PSDCA (Formerly Byproduct 6)</t>
  </si>
  <si>
    <t>NVHOS</t>
  </si>
  <si>
    <t>6</t>
  </si>
  <si>
    <t>8</t>
  </si>
  <si>
    <t>5.4</t>
  </si>
  <si>
    <t>4.3</t>
  </si>
  <si>
    <t>3.7</t>
  </si>
  <si>
    <t>4.4</t>
  </si>
  <si>
    <t>4.5</t>
  </si>
  <si>
    <t>8.1 J</t>
  </si>
  <si>
    <t>2.8</t>
  </si>
  <si>
    <t>5.2</t>
  </si>
  <si>
    <t>5.9</t>
  </si>
  <si>
    <t>5.6</t>
  </si>
  <si>
    <t>EVE Acid</t>
  </si>
  <si>
    <t>Hydro-EVE Acid</t>
  </si>
  <si>
    <t>7.7</t>
  </si>
  <si>
    <t>2.3</t>
  </si>
  <si>
    <t>2</t>
  </si>
  <si>
    <t>3.5</t>
  </si>
  <si>
    <t>R-EVE</t>
  </si>
  <si>
    <t>76</t>
  </si>
  <si>
    <t>20</t>
  </si>
  <si>
    <t>60</t>
  </si>
  <si>
    <t>40</t>
  </si>
  <si>
    <t>39</t>
  </si>
  <si>
    <t>21 J</t>
  </si>
  <si>
    <t>23 J</t>
  </si>
  <si>
    <t>13</t>
  </si>
  <si>
    <t>46 J</t>
  </si>
  <si>
    <t>25</t>
  </si>
  <si>
    <t>26 J</t>
  </si>
  <si>
    <t>PES</t>
  </si>
  <si>
    <t>&lt;2.3</t>
  </si>
  <si>
    <t>PFECA B</t>
  </si>
  <si>
    <t>&lt;3</t>
  </si>
  <si>
    <t>PFECA-G</t>
  </si>
  <si>
    <t>Total Table 3+ (17 Compounds) (ng/L)</t>
  </si>
  <si>
    <t>Total Table 3+ (20 Compounds) (ng/L)</t>
  </si>
  <si>
    <t>Ratio of HFPO-DA to Total Table 3+ (17 Compounds)</t>
  </si>
  <si>
    <t>Ratio of HFPO-DA to Total Table 3+ (20 Compounds)</t>
  </si>
  <si>
    <t>Average Ratio of HFPO-DA to Total Table 3+ (17 Compounds)</t>
  </si>
  <si>
    <t>Average Ratio of HFPO-DA to Total Table 3+ (20 Compounds)</t>
  </si>
  <si>
    <t xml:space="preserve">Step 5: The area of deposition is divided into sections, each having a characteristic net deposition rate and river surface area. The data above is used to determine the mass discharge of HFPO-DA and Total Table 3+. </t>
  </si>
  <si>
    <r>
      <t>Section</t>
    </r>
    <r>
      <rPr>
        <b/>
        <vertAlign val="superscript"/>
        <sz val="10"/>
        <rFont val="Times New Roman"/>
        <family val="1"/>
      </rPr>
      <t>1</t>
    </r>
  </si>
  <si>
    <t>Start Air Loading (ug/m2)</t>
  </si>
  <si>
    <t>End Air Loading (ug/m2)</t>
  </si>
  <si>
    <t>Start Deposition Rate (ng/m2/hr)</t>
  </si>
  <si>
    <t>End Deposition Rate (ng/m2/hr)</t>
  </si>
  <si>
    <t>Average Deposition Rate
(ng/m2/hr)</t>
  </si>
  <si>
    <r>
      <t>Section Distance</t>
    </r>
    <r>
      <rPr>
        <b/>
        <vertAlign val="superscript"/>
        <sz val="10"/>
        <color theme="1"/>
        <rFont val="Times New Roman"/>
        <family val="1"/>
      </rPr>
      <t>2</t>
    </r>
    <r>
      <rPr>
        <b/>
        <sz val="10"/>
        <color theme="1"/>
        <rFont val="Times New Roman"/>
        <family val="1"/>
      </rPr>
      <t xml:space="preserve"> (m)</t>
    </r>
  </si>
  <si>
    <t>Average River Width (m)</t>
  </si>
  <si>
    <t>Section
Area
(m2)</t>
  </si>
  <si>
    <r>
      <t>River Velocity</t>
    </r>
    <r>
      <rPr>
        <b/>
        <vertAlign val="superscript"/>
        <sz val="10"/>
        <color theme="1"/>
        <rFont val="Times New Roman"/>
        <family val="1"/>
      </rPr>
      <t>4</t>
    </r>
    <r>
      <rPr>
        <b/>
        <sz val="10"/>
        <color theme="1"/>
        <rFont val="Times New Roman"/>
        <family val="1"/>
      </rPr>
      <t xml:space="preserve"> (ft/s)</t>
    </r>
  </si>
  <si>
    <t>River Velocity (m/hr)</t>
  </si>
  <si>
    <t>Travel Time (hrs)</t>
  </si>
  <si>
    <t>Mass Deposited 
(mg)</t>
  </si>
  <si>
    <t>Mass Discharge
(mg/s)</t>
  </si>
  <si>
    <t>Center</t>
  </si>
  <si>
    <t>Up River Section 1</t>
  </si>
  <si>
    <t>Up River Section 2</t>
  </si>
  <si>
    <t>Down River Section 1</t>
  </si>
  <si>
    <t>Down River Section 2</t>
  </si>
  <si>
    <t>Total HFPO-DA:</t>
  </si>
  <si>
    <t>1. River cross sections are shown in Figures J2 through J6</t>
  </si>
  <si>
    <t>Total Table 3+ (17 Compounds):</t>
  </si>
  <si>
    <t xml:space="preserve">2. Section distances are measured in GIS as shown on Figures J2 through J6. </t>
  </si>
  <si>
    <t>Total Table 3+ (20 Compounds):</t>
  </si>
  <si>
    <t>3. Based on model deposition rate, Table J1</t>
  </si>
  <si>
    <t>4. River velocity is calculated as an average from USGS discharge data between April 2 to 3, 2020, Table J4</t>
  </si>
  <si>
    <t>Outfall 002 Flow 
(MGD)</t>
  </si>
  <si>
    <t>Total daily volume (gal)</t>
  </si>
  <si>
    <t>Hours of sampling (finished 3 pm 4/3/2020)</t>
  </si>
  <si>
    <t>Weighted total volume during sampling (gal)</t>
  </si>
  <si>
    <t>Total</t>
  </si>
  <si>
    <t>Timestamp</t>
  </si>
  <si>
    <r>
      <t>River Water Total Daily Flow Average (GPM)</t>
    </r>
    <r>
      <rPr>
        <vertAlign val="superscript"/>
        <sz val="11"/>
        <color theme="1"/>
        <rFont val="Calibri"/>
        <family val="2"/>
        <scheme val="minor"/>
      </rPr>
      <t>1</t>
    </r>
  </si>
  <si>
    <t>Approximate Total Flow to Site (GPD)</t>
  </si>
  <si>
    <t>1 - Intake flow data provided from 9 am to 9 am to line up with sampling time</t>
  </si>
  <si>
    <t>Total Table 3+  Summed over all 20 Compounds</t>
  </si>
  <si>
    <t>Segment</t>
  </si>
  <si>
    <t>Well</t>
  </si>
  <si>
    <t>Segment Length (ft)</t>
  </si>
  <si>
    <t>Rounded Segment Length (ft)</t>
  </si>
  <si>
    <r>
      <t>Cross-sectional Area of Black Creek Aquifer (ft</t>
    </r>
    <r>
      <rPr>
        <b/>
        <vertAlign val="superscript"/>
        <sz val="12"/>
        <color theme="1"/>
        <rFont val="Times New Roman"/>
        <family val="1"/>
      </rPr>
      <t>2</t>
    </r>
    <r>
      <rPr>
        <b/>
        <sz val="12"/>
        <color theme="1"/>
        <rFont val="Times New Roman"/>
        <family val="1"/>
      </rPr>
      <t>)</t>
    </r>
  </si>
  <si>
    <r>
      <t>Rounded Cross-sectional Area of Black Creek Aquifer 
(ft</t>
    </r>
    <r>
      <rPr>
        <b/>
        <vertAlign val="superscript"/>
        <sz val="12"/>
        <color theme="1"/>
        <rFont val="Times New Roman"/>
        <family val="1"/>
      </rPr>
      <t>2</t>
    </r>
    <r>
      <rPr>
        <b/>
        <sz val="12"/>
        <color theme="1"/>
        <rFont val="Times New Roman"/>
        <family val="1"/>
      </rPr>
      <t>)</t>
    </r>
  </si>
  <si>
    <t>Average Thickness of Black Creek Aquifer 
(ft)</t>
  </si>
  <si>
    <r>
      <t>Groundwater Contour Elevation  Difference</t>
    </r>
    <r>
      <rPr>
        <b/>
        <vertAlign val="superscript"/>
        <sz val="12"/>
        <color theme="1"/>
        <rFont val="Times New Roman"/>
        <family val="1"/>
      </rPr>
      <t>2</t>
    </r>
    <r>
      <rPr>
        <b/>
        <sz val="12"/>
        <color theme="1"/>
        <rFont val="Times New Roman"/>
        <family val="1"/>
      </rPr>
      <t xml:space="preserve"> (ft)</t>
    </r>
  </si>
  <si>
    <r>
      <t>Horizontal Distance Between Contours</t>
    </r>
    <r>
      <rPr>
        <b/>
        <vertAlign val="superscript"/>
        <sz val="12"/>
        <color theme="1"/>
        <rFont val="Times New Roman"/>
        <family val="1"/>
      </rPr>
      <t>2</t>
    </r>
    <r>
      <rPr>
        <b/>
        <sz val="12"/>
        <color theme="1"/>
        <rFont val="Times New Roman"/>
        <family val="1"/>
      </rPr>
      <t xml:space="preserve"> (ft)</t>
    </r>
  </si>
  <si>
    <t>Hydraulic Gradient (ft/ft)</t>
  </si>
  <si>
    <r>
      <t>Minimum Hydraulic Conductivity</t>
    </r>
    <r>
      <rPr>
        <b/>
        <vertAlign val="superscript"/>
        <sz val="12"/>
        <color theme="1"/>
        <rFont val="Times New Roman"/>
        <family val="1"/>
      </rPr>
      <t>3</t>
    </r>
    <r>
      <rPr>
        <b/>
        <sz val="12"/>
        <color theme="1"/>
        <rFont val="Times New Roman"/>
        <family val="1"/>
      </rPr>
      <t xml:space="preserve"> (ft/sec)</t>
    </r>
  </si>
  <si>
    <r>
      <t>Geometric Mean Hydraulic Conductivity</t>
    </r>
    <r>
      <rPr>
        <b/>
        <vertAlign val="superscript"/>
        <sz val="12"/>
        <color theme="1"/>
        <rFont val="Times New Roman"/>
        <family val="1"/>
      </rPr>
      <t>3</t>
    </r>
    <r>
      <rPr>
        <b/>
        <sz val="12"/>
        <color theme="1"/>
        <rFont val="Times New Roman"/>
        <family val="1"/>
      </rPr>
      <t xml:space="preserve"> (ft/sec)</t>
    </r>
  </si>
  <si>
    <r>
      <t>Total Table 3+ Concentration</t>
    </r>
    <r>
      <rPr>
        <b/>
        <vertAlign val="superscript"/>
        <sz val="12"/>
        <color theme="1"/>
        <rFont val="Times New Roman"/>
        <family val="1"/>
      </rPr>
      <t>1</t>
    </r>
    <r>
      <rPr>
        <b/>
        <sz val="12"/>
        <color theme="1"/>
        <rFont val="Times New Roman"/>
        <family val="1"/>
      </rPr>
      <t xml:space="preserve"> (ng/L)</t>
    </r>
  </si>
  <si>
    <t>Average Total Table 3+ Concentration for Segment 
(ng/L)</t>
  </si>
  <si>
    <t>Minimum Mass Flux 
(mg/sec)</t>
  </si>
  <si>
    <t>Geometric Mean Mass Flux (mg/sec)</t>
  </si>
  <si>
    <t xml:space="preserve">Notes </t>
  </si>
  <si>
    <t>1 - Detailed Table 3+ Concentrations provided in Table 9.</t>
  </si>
  <si>
    <t>2 - vertical and horizontal distances for hydraulic gradient determined from Figure D3.</t>
  </si>
  <si>
    <t>3 - Hydraulic conductivity values are based on slug test results presented in Table D2.</t>
  </si>
  <si>
    <t>ft/sec - feet per second</t>
  </si>
  <si>
    <r>
      <t>ft</t>
    </r>
    <r>
      <rPr>
        <vertAlign val="superscript"/>
        <sz val="12"/>
        <color theme="1"/>
        <rFont val="Times New Roman"/>
        <family val="1"/>
      </rPr>
      <t>2</t>
    </r>
    <r>
      <rPr>
        <sz val="12"/>
        <color theme="1"/>
        <rFont val="Times New Roman"/>
        <family val="1"/>
      </rPr>
      <t xml:space="preserve"> - square feet</t>
    </r>
  </si>
  <si>
    <t>mg/sec - milligrams per second</t>
  </si>
  <si>
    <t>NAVD 88 - North American Vertical Gradient of 1988</t>
  </si>
  <si>
    <t>ng/L - nanograms per liter</t>
  </si>
  <si>
    <t>Used as source for calculations in tab named "Onsite GW Summary"</t>
  </si>
  <si>
    <t>Slug Test</t>
  </si>
  <si>
    <t>Observed Hydraulic Conductivity (ft/sec)</t>
  </si>
  <si>
    <t>Minimum Hydraulic Conductivity (ft/sec)</t>
  </si>
  <si>
    <t>Geometric Mean Hydraulic Conductivity (ft/sec)</t>
  </si>
  <si>
    <t>Data Source</t>
  </si>
  <si>
    <t>Minimum K (ft/sec)</t>
  </si>
  <si>
    <t>Geomean K</t>
  </si>
  <si>
    <t>BCA-01</t>
  </si>
  <si>
    <t>T1</t>
  </si>
  <si>
    <t>Entire BCA</t>
  </si>
  <si>
    <t>BCA slug tests</t>
  </si>
  <si>
    <t>T1*</t>
  </si>
  <si>
    <t>T2</t>
  </si>
  <si>
    <t>T2*</t>
  </si>
  <si>
    <t>LTW-02 slug tests</t>
  </si>
  <si>
    <t>T3</t>
  </si>
  <si>
    <t>LTW-03 slug tests</t>
  </si>
  <si>
    <t>T3*</t>
  </si>
  <si>
    <t>T4</t>
  </si>
  <si>
    <t>T4*</t>
  </si>
  <si>
    <t>BCA-02</t>
  </si>
  <si>
    <t>LTW-05 slug tests</t>
  </si>
  <si>
    <t>T5</t>
  </si>
  <si>
    <t>T5*</t>
  </si>
  <si>
    <t>BCA-04</t>
  </si>
  <si>
    <t>Remaining Segments (1, 2, 5, 6, and 8)</t>
  </si>
  <si>
    <t>All BCA Wells</t>
  </si>
  <si>
    <t>* -  Screen length used for aquifer thickness</t>
  </si>
  <si>
    <t>BCA - Black Creek Aquifer</t>
  </si>
  <si>
    <r>
      <t>Cross-sectional Area of Black Creek Aquifer 
(ft</t>
    </r>
    <r>
      <rPr>
        <b/>
        <vertAlign val="superscript"/>
        <sz val="10"/>
        <color theme="1"/>
        <rFont val="Times New Roman"/>
        <family val="1"/>
      </rPr>
      <t>2</t>
    </r>
    <r>
      <rPr>
        <b/>
        <sz val="10"/>
        <color theme="1"/>
        <rFont val="Times New Roman"/>
        <family val="1"/>
      </rPr>
      <t>)</t>
    </r>
  </si>
  <si>
    <t>Minimum Flow Rate
(L/sec)</t>
  </si>
  <si>
    <t>Geometric Mean Flow Rate (L/sec)</t>
  </si>
  <si>
    <t>Minimum Flow Rate
(GPD)</t>
  </si>
  <si>
    <t>Geometric Mean Flow Rate (GPD)</t>
  </si>
  <si>
    <t>Supporting data for cross-sectional area, hydraulic gradient, and hydraulic conductivity provided in Table H1.</t>
  </si>
  <si>
    <r>
      <t>ft</t>
    </r>
    <r>
      <rPr>
        <vertAlign val="superscript"/>
        <sz val="10"/>
        <color theme="1"/>
        <rFont val="Times New Roman"/>
        <family val="1"/>
      </rPr>
      <t>2</t>
    </r>
    <r>
      <rPr>
        <sz val="10"/>
        <color theme="1"/>
        <rFont val="Times New Roman"/>
        <family val="1"/>
      </rPr>
      <t xml:space="preserve"> - square feet</t>
    </r>
  </si>
  <si>
    <t>GPD - gallons per day</t>
  </si>
  <si>
    <t>L/sec - liters per second</t>
  </si>
  <si>
    <t>ms</t>
  </si>
  <si>
    <t>LEVEL (kpa)</t>
  </si>
  <si>
    <t>TEMPERATURE</t>
  </si>
  <si>
    <t>Level (Ft)</t>
  </si>
  <si>
    <t>Flow (GPM)</t>
  </si>
  <si>
    <t>Minutes</t>
  </si>
  <si>
    <t>Volume (gal)</t>
  </si>
  <si>
    <t>Seep A-1</t>
  </si>
  <si>
    <t>Seep A-2</t>
  </si>
  <si>
    <t>Seep A-3</t>
  </si>
  <si>
    <t>Level logger disturbed. Water level is average of the first reading prior with an undisturbed logger and first reading after with an undisturbed logger.</t>
  </si>
  <si>
    <t>LEVEL (kPa)</t>
  </si>
  <si>
    <t>Total daily volume</t>
  </si>
  <si>
    <t>pressure (kPa)</t>
  </si>
  <si>
    <t>Depth (ft)</t>
  </si>
  <si>
    <t>Seep B North</t>
  </si>
  <si>
    <t>Seep B South</t>
  </si>
  <si>
    <t>Seep B Mid</t>
  </si>
  <si>
    <t>Seep C-1</t>
  </si>
  <si>
    <t>Corrected flow to 120 gpm maximum for large flume</t>
  </si>
  <si>
    <t>LEVEL (ft)</t>
  </si>
  <si>
    <t>Flow (gpm)</t>
  </si>
  <si>
    <t>Level logger disturbed. Water level is average of surrounding recordings.</t>
  </si>
  <si>
    <t>LEVEL</t>
  </si>
  <si>
    <t>Value</t>
  </si>
  <si>
    <t>Unit</t>
  </si>
  <si>
    <t>𝑙_(𝐶𝐹𝑅−𝑢𝑝)</t>
  </si>
  <si>
    <t>miles</t>
  </si>
  <si>
    <t>𝑙_(𝐶𝐹𝑅−𝑎𝑑𝑗)</t>
  </si>
  <si>
    <t xml:space="preserve">𝑙_(𝐶𝐹𝑅−𝑑) </t>
  </si>
  <si>
    <t>𝑓_(𝑢𝑝−𝑎𝑑𝑗−𝑑)</t>
  </si>
  <si>
    <t># retrieved: 2020-06-07 16:38:39 EDT       (caww01)</t>
  </si>
  <si>
    <t>#    USGS 02105769 CAPE FEAR R AT LOCK #1 NR KELLY, NC</t>
  </si>
  <si>
    <t># Data provided for site 02105769</t>
  </si>
  <si>
    <t>#         89688       00060     Discharge, cubic feet per second</t>
  </si>
  <si>
    <t>#         89689       00065     Gage height, feet</t>
  </si>
  <si>
    <t>#         89694       00045     Precipitation, total, inches</t>
  </si>
  <si>
    <t>agency_cd       site_no datetime        tz_cd   89688_00060     89688_00060_cd  89689_00065     89689_00065_cd  89694_00045     89694_00045_cd</t>
  </si>
  <si>
    <t>Discharge (cubic ft/sec)</t>
  </si>
  <si>
    <t>Gage height (ft)</t>
  </si>
  <si>
    <t>Precipitation (inches)</t>
  </si>
  <si>
    <t>Table 1:</t>
  </si>
  <si>
    <t>Average Flow During Release (cfs)</t>
  </si>
  <si>
    <t>Inverse Average Flow During Release (cfs)</t>
  </si>
  <si>
    <t>Gage Height (feet)</t>
  </si>
  <si>
    <t>Travel Time to Bladen Bluffs WTP (hours)</t>
  </si>
  <si>
    <t>Travel Time to Tar Heel Ferry Road (hours)</t>
  </si>
  <si>
    <t>Travel Time to Kings Bluffs WTP (hours)</t>
  </si>
  <si>
    <t>10/25/2017</t>
  </si>
  <si>
    <t>2/17/2017</t>
  </si>
  <si>
    <t>1/25/2017</t>
  </si>
  <si>
    <t>6/25/2017</t>
  </si>
  <si>
    <t>5/27/2017</t>
  </si>
  <si>
    <t>4/26/2017</t>
  </si>
  <si>
    <t xml:space="preserve">Pathway/ Location </t>
  </si>
  <si>
    <t>Sample Collection Timepoint</t>
  </si>
  <si>
    <r>
      <t>Flow Gauging Location</t>
    </r>
    <r>
      <rPr>
        <b/>
        <vertAlign val="superscript"/>
        <sz val="12"/>
        <color theme="1"/>
        <rFont val="Times New Roman"/>
        <family val="1"/>
      </rPr>
      <t>1</t>
    </r>
  </si>
  <si>
    <r>
      <t>Travel Time Offset (hr)</t>
    </r>
    <r>
      <rPr>
        <b/>
        <vertAlign val="superscript"/>
        <sz val="12"/>
        <color theme="1"/>
        <rFont val="Times New Roman"/>
        <family val="1"/>
      </rPr>
      <t>2</t>
    </r>
  </si>
  <si>
    <t>Adjusted Flow Gauging Timepoint</t>
  </si>
  <si>
    <r>
      <t>Composite Sample 24-Hour Flow Volume (MGD)</t>
    </r>
    <r>
      <rPr>
        <b/>
        <vertAlign val="superscript"/>
        <sz val="12"/>
        <color theme="1"/>
        <rFont val="Times New Roman"/>
        <family val="1"/>
      </rPr>
      <t>3</t>
    </r>
  </si>
  <si>
    <r>
      <t>Grab Sample Instantaneous Flow Rate (ft</t>
    </r>
    <r>
      <rPr>
        <b/>
        <vertAlign val="superscript"/>
        <sz val="12"/>
        <color theme="1"/>
        <rFont val="Times New Roman"/>
        <family val="1"/>
      </rPr>
      <t>3</t>
    </r>
    <r>
      <rPr>
        <b/>
        <sz val="12"/>
        <color theme="1"/>
        <rFont val="Times New Roman"/>
        <family val="1"/>
      </rPr>
      <t>/s)</t>
    </r>
    <r>
      <rPr>
        <b/>
        <vertAlign val="superscript"/>
        <sz val="12"/>
        <color theme="1"/>
        <rFont val="Times New Roman"/>
        <family val="1"/>
      </rPr>
      <t>4</t>
    </r>
  </si>
  <si>
    <t>Upstream River Water and Groundwater</t>
  </si>
  <si>
    <t>William O Huske Lock and Dam</t>
  </si>
  <si>
    <t>Tarheel (Composite Sample)</t>
  </si>
  <si>
    <t>Tarheel (Grab Sample)</t>
  </si>
  <si>
    <t>Bladen Bluff</t>
  </si>
  <si>
    <t>Kings Bluff</t>
  </si>
  <si>
    <t>Cape Fear River Lock and Dam #1</t>
  </si>
  <si>
    <t>1 - Flow rate measured at USGS gauging station #02105500 located at William O Huske Lock &amp; Dam amd Lock and Dam #1 near Kelly.</t>
  </si>
  <si>
    <t xml:space="preserve">2 - Flow rates measured at William O Huske Lock and Dam were used for mass loading assessments at Tarheel and Bladen Bluff sample locations. Travel times between William O Huske Lock and Dam and the downstream locations were estimated based on the results of a numerical model of the Cape Fear River developed by Geosyntec which developed a regression curve between the USGS reported gage heights at William O Huske Lock and Dam and travel times. </t>
  </si>
  <si>
    <t>3 - Total flow volume for composite samples is based on measurements taken over 24-hour sample collection period.</t>
  </si>
  <si>
    <t>4 - Instantaneous flow rate for grab samples is the recorded flow rate at the time of grab sample collection.</t>
  </si>
  <si>
    <t>Acronyms:</t>
  </si>
  <si>
    <r>
      <t>ft</t>
    </r>
    <r>
      <rPr>
        <vertAlign val="superscript"/>
        <sz val="12"/>
        <color theme="1"/>
        <rFont val="Times New Roman"/>
        <family val="1"/>
      </rPr>
      <t>3</t>
    </r>
    <r>
      <rPr>
        <sz val="12"/>
        <color theme="1"/>
        <rFont val="Times New Roman"/>
        <family val="1"/>
      </rPr>
      <t>/s - cubic feet per second</t>
    </r>
  </si>
  <si>
    <t>hr - hours</t>
  </si>
  <si>
    <t>MGD - millions of gallons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</si>
</sst>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_(* \(#,##0.00\);_(* &quot;-&quot;??_);_(@_)"/>
    <numFmt numFmtId="164" formatCode="[$-F400]h:mm:ss\ AM/PM"/>
    <numFmt numFmtId="165" formatCode="0.0"/>
    <numFmt numFmtId="166" formatCode="m/d/yy\ h:mm:ss"/>
    <numFmt numFmtId="167" formatCode="0.0%"/>
    <numFmt numFmtId="168" formatCode="#,##0.000"/>
    <numFmt numFmtId="169" formatCode="#,##0.0000"/>
    <numFmt numFmtId="170" formatCode="0.0E+00"/>
    <numFmt numFmtId="171" formatCode="#,##0.00000"/>
    <numFmt numFmtId="172" formatCode="#,##0.0"/>
    <numFmt numFmtId="173" formatCode="0.000E+00"/>
    <numFmt numFmtId="174" formatCode="0.000"/>
    <numFmt numFmtId="175" formatCode="_(* #,##0_);_(* \(#,##0\);_(* &quot;-&quot;??_);_(@_)"/>
    <numFmt numFmtId="176" formatCode="_(* #,##0.00000_);_(* \(#,##0.00000\);_(* &quot;-&quot;??_);_(@_)"/>
    <numFmt numFmtId="177" formatCode="_(* #,##0.0_);_(* \(#,##0.0\);_(* &quot;-&quot;??_);_(@_)"/>
    <numFmt numFmtId="178" formatCode="#,###"/>
    <numFmt numFmtId="179" formatCode="#,###.0"/>
    <numFmt numFmtId="180" formatCode="#,###.00"/>
    <numFmt numFmtId="181" formatCode="_(* #,##0.000_);_(* \(#,##0.000\);_(* &quot;-&quot;??_);_(@_)"/>
  </numFmts>
  <fonts count="45">
    <font>
      <sz val="11"/>
      <color theme="1"/>
      <name val="Calibri"/>
      <family val="2"/>
      <scheme val="minor"/>
    </font>
    <font>
      <b/>
      <sz val="11"/>
      <color theme="1"/>
      <name val="Calibri"/>
      <family val="2"/>
      <scheme val="minor"/>
    </font>
    <font>
      <sz val="8"/>
      <name val="Calibri"/>
      <family val="2"/>
      <scheme val="minor"/>
    </font>
    <font>
      <sz val="10"/>
      <color indexed="8"/>
      <name val="Arial"/>
      <family val="2"/>
    </font>
    <font>
      <sz val="11"/>
      <color indexed="8"/>
      <name val="Calibri"/>
      <family val="2"/>
    </font>
    <font>
      <sz val="11"/>
      <color rgb="FFFF0000"/>
      <name val="Calibri"/>
      <family val="2"/>
      <scheme val="minor"/>
    </font>
    <font>
      <b/>
      <sz val="10"/>
      <color theme="1"/>
      <name val="Calibri"/>
      <family val="2"/>
      <scheme val="minor"/>
    </font>
    <font>
      <sz val="10"/>
      <color theme="1"/>
      <name val="Calibri"/>
      <family val="2"/>
      <scheme val="minor"/>
    </font>
    <font>
      <sz val="10"/>
      <color theme="1"/>
      <name val="Arial Unicode MS"/>
      <family val="2"/>
    </font>
    <font>
      <sz val="11"/>
      <name val="Calibri"/>
      <family val="2"/>
      <scheme val="minor"/>
    </font>
    <font>
      <b/>
      <sz val="10"/>
      <color theme="1"/>
      <name val="Times New Roman"/>
      <family val="1"/>
    </font>
    <font>
      <b/>
      <vertAlign val="superscript"/>
      <sz val="10"/>
      <color theme="1"/>
      <name val="Times New Roman"/>
      <family val="1"/>
    </font>
    <font>
      <sz val="10"/>
      <color theme="1"/>
      <name val="Arial"/>
      <family val="2"/>
    </font>
    <font>
      <sz val="10"/>
      <color theme="1"/>
      <name val="Times New Roman"/>
      <family val="1"/>
    </font>
    <font>
      <b/>
      <i/>
      <sz val="10"/>
      <color theme="1"/>
      <name val="Times New Roman"/>
      <family val="1"/>
    </font>
    <font>
      <b/>
      <i/>
      <sz val="9"/>
      <color theme="1"/>
      <name val="Times New Roman"/>
      <family val="1"/>
    </font>
    <font>
      <sz val="9"/>
      <name val="Times New Roman"/>
      <family val="1"/>
    </font>
    <font>
      <sz val="9"/>
      <color theme="1"/>
      <name val="Times New Roman"/>
      <family val="1"/>
    </font>
    <font>
      <vertAlign val="superscript"/>
      <sz val="9"/>
      <color theme="1"/>
      <name val="Times New Roman"/>
      <family val="1"/>
    </font>
    <font>
      <sz val="9"/>
      <color theme="1"/>
      <name val="Arial"/>
      <family val="2"/>
    </font>
    <font>
      <sz val="10"/>
      <name val="Times New Roman"/>
      <family val="1"/>
    </font>
    <font>
      <sz val="10"/>
      <name val="Calibri"/>
      <family val="2"/>
      <scheme val="minor"/>
    </font>
    <font>
      <b/>
      <vertAlign val="superscript"/>
      <sz val="11"/>
      <color theme="1"/>
      <name val="Calibri"/>
      <family val="2"/>
      <scheme val="minor"/>
    </font>
    <font>
      <vertAlign val="superscript"/>
      <sz val="11"/>
      <color theme="1"/>
      <name val="Calibri"/>
      <family val="2"/>
      <scheme val="minor"/>
    </font>
    <font>
      <sz val="11"/>
      <color theme="1"/>
      <name val="Calibri"/>
      <family val="2"/>
      <scheme val="minor"/>
    </font>
    <font>
      <sz val="10"/>
      <color rgb="FF000000"/>
      <name val="Arial Unicode MS"/>
      <family val="2"/>
    </font>
    <font>
      <sz val="12"/>
      <color theme="1"/>
      <name val="Times New Roman"/>
      <family val="1"/>
    </font>
    <font>
      <vertAlign val="superscript"/>
      <sz val="12"/>
      <color theme="1"/>
      <name val="Times New Roman"/>
      <family val="1"/>
    </font>
    <font>
      <b/>
      <i/>
      <sz val="12"/>
      <color theme="1"/>
      <name val="Times New Roman"/>
      <family val="1"/>
    </font>
    <font>
      <b/>
      <sz val="12"/>
      <color theme="1"/>
      <name val="Times New Roman"/>
      <family val="1"/>
    </font>
    <font>
      <b/>
      <vertAlign val="superscript"/>
      <sz val="12"/>
      <color theme="1"/>
      <name val="Times New Roman"/>
      <family val="1"/>
    </font>
    <font>
      <vertAlign val="superscript"/>
      <sz val="10"/>
      <color theme="1"/>
      <name val="Times New Roman"/>
      <family val="1"/>
    </font>
    <font>
      <sz val="11"/>
      <color rgb="FF000000"/>
      <name val="Calibri"/>
      <family val="2"/>
      <scheme val="minor"/>
    </font>
    <font>
      <sz val="11"/>
      <color theme="1"/>
      <name val="Times New Roman"/>
      <family val="1"/>
    </font>
    <font>
      <sz val="11"/>
      <color indexed="8"/>
      <name val="Calibri"/>
      <family val="2"/>
      <scheme val="minor"/>
    </font>
    <font>
      <b/>
      <i/>
      <sz val="11"/>
      <color theme="1"/>
      <name val="Times New Roman"/>
      <family val="1"/>
    </font>
    <font>
      <sz val="10"/>
      <color theme="1"/>
      <name val="Times New Roman"/>
      <family val="2"/>
    </font>
    <font>
      <sz val="10"/>
      <color rgb="FF000000"/>
      <name val="Times New Roman"/>
      <family val="1"/>
    </font>
    <font>
      <b/>
      <sz val="10"/>
      <name val="Times New Roman"/>
      <family val="1"/>
    </font>
    <font>
      <b/>
      <vertAlign val="superscript"/>
      <sz val="10"/>
      <name val="Times New Roman"/>
      <family val="1"/>
    </font>
    <font>
      <b/>
      <sz val="10"/>
      <color indexed="8"/>
      <name val="Times New Roman"/>
      <family val="1"/>
    </font>
    <font>
      <sz val="10"/>
      <color indexed="8"/>
      <name val="Times New Roman"/>
      <family val="1"/>
    </font>
    <font>
      <b/>
      <i/>
      <sz val="10"/>
      <color indexed="8"/>
      <name val="Times New Roman"/>
      <family val="1"/>
    </font>
    <font>
      <b/>
      <u/>
      <sz val="11"/>
      <color theme="1"/>
      <name val="Times New Roman"/>
      <family val="1"/>
    </font>
    <font>
      <sz val="11"/>
      <color theme="0"/>
      <name val="Calibri"/>
      <family val="2"/>
      <scheme val="minor"/>
    </font>
  </fonts>
  <fills count="22">
    <fill>
      <patternFill patternType="none"/>
    </fill>
    <fill>
      <patternFill patternType="gray125"/>
    </fill>
    <fill>
      <patternFill patternType="solid">
        <fgColor theme="5" tint="0.39997558519241921"/>
        <bgColor indexed="64"/>
      </patternFill>
    </fill>
    <fill>
      <patternFill patternType="solid">
        <fgColor indexed="22"/>
        <bgColor indexed="0"/>
      </patternFill>
    </fill>
    <fill>
      <patternFill patternType="solid">
        <fgColor theme="7"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CCFFFF"/>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CCCCFF"/>
        <bgColor indexed="64"/>
      </patternFill>
    </fill>
    <fill>
      <patternFill patternType="solid">
        <fgColor rgb="FFF6ACEB"/>
        <bgColor indexed="64"/>
      </patternFill>
    </fill>
    <fill>
      <patternFill patternType="solid">
        <fgColor theme="2" tint="-9.9978637043366805E-2"/>
        <bgColor indexed="64"/>
      </patternFill>
    </fill>
    <fill>
      <patternFill patternType="solid">
        <fgColor rgb="FFFF3399"/>
        <bgColor indexed="64"/>
      </patternFill>
    </fill>
    <fill>
      <patternFill patternType="solid">
        <fgColor theme="9"/>
        <bgColor indexed="64"/>
      </patternFill>
    </fill>
    <fill>
      <patternFill patternType="solid">
        <fgColor rgb="FF9966FF"/>
        <bgColor indexed="64"/>
      </patternFill>
    </fill>
    <fill>
      <patternFill patternType="solid">
        <fgColor theme="2" tint="-0.499984740745262"/>
        <bgColor indexed="64"/>
      </patternFill>
    </fill>
    <fill>
      <patternFill patternType="solid">
        <fgColor rgb="FFFFFF00"/>
        <bgColor indexed="64"/>
      </patternFill>
    </fill>
  </fills>
  <borders count="53">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8"/>
      </bottom>
      <diagonal/>
    </border>
    <border>
      <left style="thin">
        <color indexed="64"/>
      </left>
      <right/>
      <top style="thin">
        <color indexed="64"/>
      </top>
      <bottom/>
      <diagonal/>
    </border>
    <border>
      <left style="thin">
        <color auto="1"/>
      </left>
      <right style="thin">
        <color auto="1"/>
      </right>
      <top style="hair">
        <color auto="1"/>
      </top>
      <bottom style="thin">
        <color auto="1"/>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3" fillId="0" borderId="0"/>
    <xf numFmtId="9" fontId="24" fillId="0" borderId="0" applyFont="0" applyFill="0" applyBorder="0" applyAlignment="0" applyProtection="0"/>
    <xf numFmtId="0" fontId="3" fillId="0" borderId="0"/>
    <xf numFmtId="43" fontId="24" fillId="0" borderId="0" applyFont="0" applyFill="0" applyBorder="0" applyAlignment="0" applyProtection="0"/>
    <xf numFmtId="0" fontId="36" fillId="0" borderId="0"/>
    <xf numFmtId="43" fontId="36" fillId="0" borderId="0" applyFont="0" applyFill="0" applyBorder="0" applyAlignment="0" applyProtection="0"/>
    <xf numFmtId="0" fontId="37" fillId="0" borderId="0"/>
    <xf numFmtId="0" fontId="3" fillId="0" borderId="0"/>
    <xf numFmtId="0" fontId="3" fillId="0" borderId="0"/>
  </cellStyleXfs>
  <cellXfs count="459">
    <xf numFmtId="0" fontId="0" fillId="0" borderId="0" xfId="0"/>
    <xf numFmtId="14" fontId="0" fillId="0" borderId="0" xfId="0" applyNumberFormat="1"/>
    <xf numFmtId="19" fontId="0" fillId="0" borderId="0" xfId="0" applyNumberFormat="1"/>
    <xf numFmtId="2" fontId="0" fillId="0" borderId="0" xfId="0" applyNumberFormat="1"/>
    <xf numFmtId="2" fontId="0" fillId="0" borderId="0" xfId="0" quotePrefix="1" applyNumberFormat="1" applyAlignment="1">
      <alignment horizontal="center"/>
    </xf>
    <xf numFmtId="1" fontId="0" fillId="0" borderId="0" xfId="0" applyNumberFormat="1"/>
    <xf numFmtId="14" fontId="0" fillId="2" borderId="0" xfId="0" applyNumberFormat="1" applyFill="1"/>
    <xf numFmtId="19" fontId="0" fillId="2" borderId="0" xfId="0" applyNumberFormat="1" applyFill="1"/>
    <xf numFmtId="0" fontId="0" fillId="2" borderId="0" xfId="0" applyFill="1"/>
    <xf numFmtId="2" fontId="0" fillId="2" borderId="0" xfId="0" applyNumberFormat="1" applyFill="1"/>
    <xf numFmtId="2" fontId="0" fillId="2" borderId="0" xfId="0" quotePrefix="1" applyNumberFormat="1" applyFill="1" applyAlignment="1">
      <alignment horizontal="center"/>
    </xf>
    <xf numFmtId="1" fontId="0" fillId="2" borderId="0" xfId="0" applyNumberFormat="1" applyFill="1"/>
    <xf numFmtId="2" fontId="0" fillId="0" borderId="0" xfId="0" applyNumberFormat="1" applyAlignment="1">
      <alignment horizontal="center"/>
    </xf>
    <xf numFmtId="2" fontId="0" fillId="2" borderId="0" xfId="0" applyNumberFormat="1" applyFill="1" applyAlignment="1">
      <alignment horizontal="center"/>
    </xf>
    <xf numFmtId="0" fontId="0" fillId="0" borderId="0" xfId="0" applyFont="1"/>
    <xf numFmtId="0" fontId="5" fillId="0" borderId="0" xfId="0" applyFont="1"/>
    <xf numFmtId="165" fontId="0" fillId="0" borderId="0" xfId="0" applyNumberFormat="1"/>
    <xf numFmtId="0" fontId="0" fillId="0" borderId="0" xfId="0" applyAlignment="1">
      <alignment wrapText="1"/>
    </xf>
    <xf numFmtId="0" fontId="8" fillId="0" borderId="0" xfId="0" applyFont="1" applyAlignment="1">
      <alignment vertical="center"/>
    </xf>
    <xf numFmtId="20" fontId="0" fillId="0" borderId="0" xfId="0" applyNumberFormat="1"/>
    <xf numFmtId="0" fontId="0" fillId="0" borderId="0" xfId="0" applyAlignment="1">
      <alignment horizontal="center" vertical="center" wrapText="1"/>
    </xf>
    <xf numFmtId="3" fontId="0" fillId="0" borderId="0" xfId="0" applyNumberFormat="1"/>
    <xf numFmtId="0" fontId="0" fillId="0" borderId="0" xfId="0"/>
    <xf numFmtId="4" fontId="0" fillId="0" borderId="0" xfId="0" applyNumberFormat="1"/>
    <xf numFmtId="0" fontId="0" fillId="0" borderId="0" xfId="0" applyAlignment="1"/>
    <xf numFmtId="0" fontId="12" fillId="0" borderId="0" xfId="0" applyFont="1"/>
    <xf numFmtId="0" fontId="12" fillId="0" borderId="2" xfId="0" applyFont="1" applyBorder="1" applyAlignment="1">
      <alignment horizontal="left" vertical="center" wrapText="1"/>
    </xf>
    <xf numFmtId="0" fontId="14" fillId="0" borderId="0" xfId="0" applyFont="1"/>
    <xf numFmtId="0" fontId="13" fillId="0" borderId="0" xfId="0" applyFont="1"/>
    <xf numFmtId="2" fontId="13" fillId="6" borderId="4" xfId="0" applyNumberFormat="1" applyFont="1" applyFill="1" applyBorder="1" applyAlignment="1">
      <alignment horizontal="center" vertical="center" wrapText="1"/>
    </xf>
    <xf numFmtId="0" fontId="15" fillId="0" borderId="0" xfId="0" applyFont="1"/>
    <xf numFmtId="0" fontId="16" fillId="0" borderId="0" xfId="0" applyFont="1" applyAlignment="1">
      <alignment vertical="center"/>
    </xf>
    <xf numFmtId="1" fontId="13" fillId="6" borderId="7" xfId="0" applyNumberFormat="1" applyFont="1" applyFill="1" applyBorder="1" applyAlignment="1">
      <alignment horizontal="center" vertical="center" wrapText="1"/>
    </xf>
    <xf numFmtId="14" fontId="16" fillId="0" borderId="0" xfId="0" applyNumberFormat="1" applyFont="1" applyAlignment="1">
      <alignment vertical="center"/>
    </xf>
    <xf numFmtId="2" fontId="13" fillId="6" borderId="2" xfId="0" applyNumberFormat="1" applyFont="1" applyFill="1" applyBorder="1" applyAlignment="1">
      <alignment horizontal="center" vertical="center" wrapText="1"/>
    </xf>
    <xf numFmtId="20" fontId="16" fillId="0" borderId="0" xfId="0" applyNumberFormat="1" applyFont="1"/>
    <xf numFmtId="2" fontId="13" fillId="0" borderId="0" xfId="0" applyNumberFormat="1" applyFont="1"/>
    <xf numFmtId="0" fontId="17" fillId="0" borderId="0" xfId="0" quotePrefix="1" applyFont="1"/>
    <xf numFmtId="0" fontId="17" fillId="0" borderId="0" xfId="0" applyFont="1"/>
    <xf numFmtId="2" fontId="15" fillId="0" borderId="0" xfId="0" applyNumberFormat="1" applyFont="1"/>
    <xf numFmtId="2" fontId="17" fillId="0" borderId="0" xfId="0" quotePrefix="1" applyNumberFormat="1" applyFont="1"/>
    <xf numFmtId="2" fontId="17" fillId="0" borderId="0" xfId="0" applyNumberFormat="1" applyFont="1"/>
    <xf numFmtId="0" fontId="19" fillId="0" borderId="0" xfId="0" applyFont="1"/>
    <xf numFmtId="2" fontId="12" fillId="0" borderId="0" xfId="0" applyNumberFormat="1" applyFont="1"/>
    <xf numFmtId="0" fontId="20" fillId="0" borderId="0" xfId="0" applyFont="1" applyAlignment="1">
      <alignment vertical="center"/>
    </xf>
    <xf numFmtId="0" fontId="13" fillId="0" borderId="2" xfId="0" applyFont="1" applyBorder="1" applyAlignment="1">
      <alignment horizontal="left" vertical="center" wrapText="1"/>
    </xf>
    <xf numFmtId="2" fontId="13" fillId="0" borderId="0" xfId="0" applyNumberFormat="1" applyFont="1" applyAlignment="1">
      <alignment horizontal="center"/>
    </xf>
    <xf numFmtId="1" fontId="13" fillId="6" borderId="4" xfId="0" applyNumberFormat="1" applyFont="1" applyFill="1" applyBorder="1" applyAlignment="1">
      <alignment horizontal="center" vertical="center" wrapText="1"/>
    </xf>
    <xf numFmtId="1" fontId="13" fillId="6" borderId="2" xfId="0" applyNumberFormat="1" applyFont="1" applyFill="1" applyBorder="1" applyAlignment="1">
      <alignment horizontal="center" vertical="center" wrapText="1"/>
    </xf>
    <xf numFmtId="9" fontId="0" fillId="0" borderId="0" xfId="2" applyFont="1"/>
    <xf numFmtId="0" fontId="1" fillId="0" borderId="0" xfId="0" applyFont="1"/>
    <xf numFmtId="0" fontId="25" fillId="0" borderId="0" xfId="0" applyFont="1" applyAlignment="1">
      <alignment vertical="center"/>
    </xf>
    <xf numFmtId="0" fontId="26" fillId="0" borderId="0" xfId="0" applyFont="1"/>
    <xf numFmtId="0" fontId="26" fillId="0" borderId="0" xfId="0" applyFont="1" applyAlignment="1">
      <alignment horizontal="center" vertical="center" wrapText="1"/>
    </xf>
    <xf numFmtId="0" fontId="26" fillId="0" borderId="0" xfId="0" applyFont="1" applyAlignment="1">
      <alignment horizontal="left" vertical="center"/>
    </xf>
    <xf numFmtId="0" fontId="28" fillId="0" borderId="0" xfId="0" applyFont="1" applyAlignment="1">
      <alignment horizontal="left" vertical="center" wrapText="1"/>
    </xf>
    <xf numFmtId="0" fontId="26" fillId="0" borderId="0" xfId="0" applyFont="1" applyAlignment="1">
      <alignment horizontal="center" vertical="center"/>
    </xf>
    <xf numFmtId="0" fontId="26" fillId="0" borderId="11" xfId="0" applyFont="1" applyBorder="1" applyAlignment="1">
      <alignment horizontal="center" vertical="center" wrapText="1"/>
    </xf>
    <xf numFmtId="4" fontId="26" fillId="0" borderId="10" xfId="0" applyNumberFormat="1" applyFont="1" applyBorder="1" applyAlignment="1">
      <alignment horizontal="center" vertical="center" wrapText="1"/>
    </xf>
    <xf numFmtId="169" fontId="26" fillId="0" borderId="10" xfId="0" applyNumberFormat="1" applyFont="1" applyBorder="1" applyAlignment="1">
      <alignment horizontal="center" vertical="center" wrapText="1"/>
    </xf>
    <xf numFmtId="170" fontId="26" fillId="0" borderId="10" xfId="0" applyNumberFormat="1" applyFont="1" applyBorder="1" applyAlignment="1">
      <alignment horizontal="center" vertical="center" wrapText="1"/>
    </xf>
    <xf numFmtId="3" fontId="2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8" fillId="0" borderId="0" xfId="0" applyFont="1"/>
    <xf numFmtId="170" fontId="26" fillId="0" borderId="14" xfId="0" applyNumberFormat="1"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170" fontId="26" fillId="0" borderId="11" xfId="0" applyNumberFormat="1" applyFont="1" applyBorder="1" applyAlignment="1">
      <alignment horizontal="center" vertical="center"/>
    </xf>
    <xf numFmtId="170" fontId="26" fillId="0" borderId="16" xfId="0" applyNumberFormat="1" applyFont="1" applyBorder="1" applyAlignment="1">
      <alignment horizontal="center" vertical="center"/>
    </xf>
    <xf numFmtId="0" fontId="26" fillId="0" borderId="16" xfId="0" applyFont="1" applyBorder="1" applyAlignment="1">
      <alignment horizontal="center" vertical="center"/>
    </xf>
    <xf numFmtId="0" fontId="26" fillId="0" borderId="11" xfId="0" applyFont="1" applyBorder="1" applyAlignment="1">
      <alignment horizontal="center" vertical="center"/>
    </xf>
    <xf numFmtId="11" fontId="0" fillId="0" borderId="0" xfId="0" applyNumberFormat="1"/>
    <xf numFmtId="170" fontId="26" fillId="0" borderId="17" xfId="0" applyNumberFormat="1" applyFont="1" applyBorder="1" applyAlignment="1">
      <alignment horizontal="center" vertical="center"/>
    </xf>
    <xf numFmtId="0" fontId="26" fillId="0" borderId="17" xfId="0" applyFont="1" applyBorder="1" applyAlignment="1">
      <alignment horizontal="center" vertical="center"/>
    </xf>
    <xf numFmtId="11" fontId="0" fillId="0" borderId="0" xfId="0" applyNumberFormat="1" applyAlignment="1">
      <alignment horizontal="center" vertical="center"/>
    </xf>
    <xf numFmtId="0" fontId="0" fillId="0" borderId="0" xfId="0" applyAlignment="1">
      <alignment horizontal="center" vertical="center"/>
    </xf>
    <xf numFmtId="0" fontId="29" fillId="0" borderId="18" xfId="0" applyFont="1" applyBorder="1" applyAlignment="1">
      <alignment horizontal="center" vertical="center" wrapText="1"/>
    </xf>
    <xf numFmtId="0" fontId="29" fillId="0" borderId="0" xfId="0" applyFont="1" applyBorder="1" applyAlignment="1">
      <alignment horizontal="center" vertical="center"/>
    </xf>
    <xf numFmtId="165" fontId="29" fillId="0" borderId="0" xfId="0" applyNumberFormat="1" applyFont="1" applyBorder="1" applyAlignment="1">
      <alignment horizontal="center" vertical="center"/>
    </xf>
    <xf numFmtId="0" fontId="0" fillId="0" borderId="18" xfId="0" quotePrefix="1" applyFont="1" applyBorder="1" applyAlignment="1">
      <alignment horizontal="center" vertical="center" wrapText="1"/>
    </xf>
    <xf numFmtId="170" fontId="26" fillId="0" borderId="20" xfId="0" applyNumberFormat="1" applyFont="1" applyBorder="1" applyAlignment="1">
      <alignment horizontal="center" vertical="center"/>
    </xf>
    <xf numFmtId="170" fontId="29" fillId="0" borderId="18" xfId="0" applyNumberFormat="1" applyFont="1" applyBorder="1" applyAlignment="1">
      <alignment horizontal="center" vertical="center" wrapText="1"/>
    </xf>
    <xf numFmtId="170" fontId="26" fillId="0" borderId="18" xfId="0" applyNumberFormat="1" applyFont="1" applyBorder="1" applyAlignment="1">
      <alignment horizontal="center" vertical="center"/>
    </xf>
    <xf numFmtId="170" fontId="26" fillId="0" borderId="0" xfId="0" applyNumberFormat="1" applyFont="1"/>
    <xf numFmtId="170" fontId="0" fillId="0" borderId="0" xfId="0" applyNumberFormat="1"/>
    <xf numFmtId="0" fontId="26" fillId="0" borderId="22" xfId="0" quotePrefix="1" applyFont="1" applyBorder="1" applyAlignment="1">
      <alignment horizontal="center" vertical="center"/>
    </xf>
    <xf numFmtId="170" fontId="26" fillId="0" borderId="22" xfId="0" applyNumberFormat="1" applyFont="1" applyBorder="1" applyAlignment="1">
      <alignment horizontal="center" vertical="center"/>
    </xf>
    <xf numFmtId="173" fontId="0" fillId="0" borderId="0" xfId="0" applyNumberFormat="1"/>
    <xf numFmtId="0" fontId="26" fillId="0" borderId="22" xfId="0" applyFont="1" applyBorder="1" applyAlignment="1">
      <alignment horizontal="center" vertic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xf>
    <xf numFmtId="0" fontId="26" fillId="0" borderId="18" xfId="0" quotePrefix="1" applyFont="1" applyBorder="1" applyAlignment="1">
      <alignment horizontal="center" vertical="center"/>
    </xf>
    <xf numFmtId="0" fontId="10" fillId="0" borderId="18" xfId="0" applyFont="1" applyBorder="1" applyAlignment="1">
      <alignment horizontal="center" vertical="center" wrapText="1"/>
    </xf>
    <xf numFmtId="3" fontId="13" fillId="0" borderId="18" xfId="0" applyNumberFormat="1" applyFont="1" applyBorder="1" applyAlignment="1">
      <alignment horizontal="center" vertical="center" wrapText="1"/>
    </xf>
    <xf numFmtId="168" fontId="13" fillId="0" borderId="18" xfId="0" applyNumberFormat="1" applyFont="1" applyBorder="1" applyAlignment="1">
      <alignment horizontal="center"/>
    </xf>
    <xf numFmtId="170" fontId="13" fillId="0" borderId="18" xfId="0" applyNumberFormat="1" applyFont="1" applyBorder="1" applyAlignment="1">
      <alignment horizontal="center"/>
    </xf>
    <xf numFmtId="2" fontId="13" fillId="0" borderId="18" xfId="0" applyNumberFormat="1" applyFont="1" applyBorder="1" applyAlignment="1">
      <alignment horizontal="center"/>
    </xf>
    <xf numFmtId="165" fontId="13" fillId="0" borderId="18" xfId="0" applyNumberFormat="1" applyFont="1" applyBorder="1" applyAlignment="1">
      <alignment horizontal="center"/>
    </xf>
    <xf numFmtId="0" fontId="7" fillId="0" borderId="0" xfId="0" applyFont="1"/>
    <xf numFmtId="0" fontId="10" fillId="0" borderId="18" xfId="0" applyFont="1" applyBorder="1" applyAlignment="1">
      <alignment horizontal="center"/>
    </xf>
    <xf numFmtId="2" fontId="10" fillId="0" borderId="18" xfId="0" applyNumberFormat="1" applyFont="1" applyBorder="1" applyAlignment="1">
      <alignment horizontal="center"/>
    </xf>
    <xf numFmtId="165" fontId="10" fillId="0" borderId="18" xfId="0" applyNumberFormat="1" applyFont="1" applyBorder="1" applyAlignment="1">
      <alignment horizontal="center"/>
    </xf>
    <xf numFmtId="0" fontId="13" fillId="0" borderId="0" xfId="0" applyFont="1" applyAlignment="1">
      <alignment horizontal="left" vertical="center"/>
    </xf>
    <xf numFmtId="167" fontId="0" fillId="0" borderId="18" xfId="2" applyNumberFormat="1" applyFont="1" applyBorder="1" applyAlignment="1">
      <alignment horizontal="center"/>
    </xf>
    <xf numFmtId="9" fontId="0" fillId="0" borderId="18" xfId="2" applyNumberFormat="1" applyFont="1" applyBorder="1" applyAlignment="1">
      <alignment horizontal="center"/>
    </xf>
    <xf numFmtId="165" fontId="0" fillId="0" borderId="18" xfId="0" applyNumberFormat="1" applyBorder="1" applyAlignment="1">
      <alignment horizontal="center"/>
    </xf>
    <xf numFmtId="0" fontId="0" fillId="0" borderId="18" xfId="0" applyBorder="1" applyAlignment="1">
      <alignment horizontal="left" vertical="top" wrapText="1"/>
    </xf>
    <xf numFmtId="0" fontId="1" fillId="0" borderId="18" xfId="0" applyFont="1" applyBorder="1" applyAlignment="1">
      <alignment horizontal="left" vertical="top" wrapText="1"/>
    </xf>
    <xf numFmtId="14" fontId="0" fillId="0" borderId="18" xfId="0" applyNumberFormat="1" applyBorder="1" applyAlignment="1">
      <alignment horizontal="left" vertical="top" wrapText="1"/>
    </xf>
    <xf numFmtId="0" fontId="29" fillId="0" borderId="22" xfId="0" applyFont="1" applyBorder="1" applyAlignment="1">
      <alignment horizontal="center" vertical="center" wrapText="1"/>
    </xf>
    <xf numFmtId="165" fontId="26" fillId="0" borderId="13" xfId="0" applyNumberFormat="1" applyFont="1" applyBorder="1" applyAlignment="1">
      <alignment horizontal="center" vertical="center"/>
    </xf>
    <xf numFmtId="0" fontId="26" fillId="0" borderId="22" xfId="0" applyFont="1" applyBorder="1" applyAlignment="1">
      <alignment horizontal="center" vertical="center" wrapText="1"/>
    </xf>
    <xf numFmtId="2" fontId="26" fillId="0" borderId="10" xfId="0" applyNumberFormat="1" applyFont="1" applyBorder="1" applyAlignment="1">
      <alignment horizontal="center" vertical="center" wrapText="1"/>
    </xf>
    <xf numFmtId="2" fontId="26" fillId="0" borderId="18" xfId="0" applyNumberFormat="1" applyFont="1" applyBorder="1" applyAlignment="1">
      <alignment horizontal="center" vertical="center" wrapText="1"/>
    </xf>
    <xf numFmtId="2" fontId="26" fillId="0" borderId="22" xfId="0" applyNumberFormat="1" applyFont="1" applyBorder="1" applyAlignment="1">
      <alignment horizontal="center" vertical="center" wrapText="1"/>
    </xf>
    <xf numFmtId="0" fontId="1" fillId="0" borderId="22" xfId="0" applyFont="1" applyBorder="1" applyAlignment="1">
      <alignment horizontal="left" vertical="top" wrapText="1"/>
    </xf>
    <xf numFmtId="0" fontId="0" fillId="0" borderId="22" xfId="0" applyBorder="1" applyAlignment="1">
      <alignment horizontal="left" vertical="top" wrapText="1"/>
    </xf>
    <xf numFmtId="0" fontId="1" fillId="0" borderId="18" xfId="0" applyFont="1" applyBorder="1" applyAlignment="1">
      <alignment wrapText="1"/>
    </xf>
    <xf numFmtId="0" fontId="0" fillId="9" borderId="18" xfId="0" applyFill="1" applyBorder="1" applyAlignment="1">
      <alignment wrapText="1"/>
    </xf>
    <xf numFmtId="0" fontId="0" fillId="10" borderId="18" xfId="0" applyFill="1" applyBorder="1" applyAlignment="1">
      <alignment wrapText="1"/>
    </xf>
    <xf numFmtId="0" fontId="0" fillId="4" borderId="18" xfId="0" applyFill="1" applyBorder="1" applyAlignment="1">
      <alignment wrapText="1"/>
    </xf>
    <xf numFmtId="0" fontId="0" fillId="12" borderId="18" xfId="0" applyFill="1" applyBorder="1" applyAlignment="1">
      <alignment wrapText="1"/>
    </xf>
    <xf numFmtId="0" fontId="0" fillId="11" borderId="18" xfId="0" applyFill="1" applyBorder="1" applyAlignment="1">
      <alignment wrapText="1"/>
    </xf>
    <xf numFmtId="0" fontId="0" fillId="13" borderId="18" xfId="0" applyFill="1" applyBorder="1" applyAlignment="1">
      <alignment wrapText="1"/>
    </xf>
    <xf numFmtId="0" fontId="0" fillId="14" borderId="18" xfId="0" applyFill="1" applyBorder="1" applyAlignment="1">
      <alignment wrapText="1"/>
    </xf>
    <xf numFmtId="0" fontId="0" fillId="9" borderId="18" xfId="0" applyFill="1" applyBorder="1" applyAlignment="1">
      <alignment vertical="center" wrapText="1"/>
    </xf>
    <xf numFmtId="0" fontId="0" fillId="10" borderId="18" xfId="0" applyFill="1" applyBorder="1" applyAlignment="1">
      <alignment vertical="center" wrapText="1"/>
    </xf>
    <xf numFmtId="0" fontId="0" fillId="4" borderId="18" xfId="0" applyFill="1" applyBorder="1" applyAlignment="1">
      <alignment vertical="center" wrapText="1"/>
    </xf>
    <xf numFmtId="0" fontId="0" fillId="13" borderId="18" xfId="0" applyFill="1" applyBorder="1" applyAlignment="1">
      <alignment vertical="center"/>
    </xf>
    <xf numFmtId="0" fontId="0" fillId="12" borderId="18" xfId="0" applyFill="1" applyBorder="1" applyAlignment="1">
      <alignment vertical="center"/>
    </xf>
    <xf numFmtId="0" fontId="0" fillId="11" borderId="18" xfId="0" applyFill="1" applyBorder="1" applyAlignment="1">
      <alignment vertical="center" wrapText="1"/>
    </xf>
    <xf numFmtId="0" fontId="0" fillId="14" borderId="18" xfId="0" applyFill="1" applyBorder="1" applyAlignment="1">
      <alignment vertical="center"/>
    </xf>
    <xf numFmtId="0" fontId="0" fillId="0" borderId="18" xfId="0" applyBorder="1" applyAlignment="1">
      <alignment horizontal="center"/>
    </xf>
    <xf numFmtId="0" fontId="0" fillId="0" borderId="18" xfId="0" applyBorder="1"/>
    <xf numFmtId="0" fontId="1" fillId="0" borderId="18" xfId="0" applyFont="1" applyBorder="1"/>
    <xf numFmtId="0" fontId="0" fillId="0" borderId="0" xfId="0" applyAlignment="1">
      <alignment horizontal="center"/>
    </xf>
    <xf numFmtId="3" fontId="1" fillId="0" borderId="18" xfId="0" applyNumberFormat="1" applyFont="1" applyBorder="1" applyAlignment="1">
      <alignment horizontal="center"/>
    </xf>
    <xf numFmtId="0" fontId="0" fillId="0" borderId="18" xfId="0" applyFont="1" applyFill="1" applyBorder="1" applyAlignment="1">
      <alignment horizontal="center" vertical="center"/>
    </xf>
    <xf numFmtId="0" fontId="0" fillId="0" borderId="18" xfId="0" applyFont="1" applyBorder="1" applyAlignment="1">
      <alignment horizontal="center"/>
    </xf>
    <xf numFmtId="14" fontId="4" fillId="0" borderId="18" xfId="1" applyNumberFormat="1" applyFont="1" applyBorder="1" applyAlignment="1">
      <alignment horizontal="center"/>
    </xf>
    <xf numFmtId="164" fontId="0" fillId="0" borderId="18" xfId="0" applyNumberFormat="1" applyFont="1" applyBorder="1" applyAlignment="1">
      <alignment horizontal="center"/>
    </xf>
    <xf numFmtId="3" fontId="0" fillId="0" borderId="18" xfId="0" applyNumberFormat="1" applyFont="1" applyBorder="1" applyAlignment="1">
      <alignment horizontal="center"/>
    </xf>
    <xf numFmtId="3" fontId="9" fillId="0" borderId="18" xfId="0" applyNumberFormat="1" applyFont="1" applyBorder="1" applyAlignment="1">
      <alignment horizontal="center" vertical="center" wrapText="1"/>
    </xf>
    <xf numFmtId="0" fontId="4" fillId="0" borderId="18" xfId="1" quotePrefix="1" applyFont="1" applyBorder="1" applyAlignment="1">
      <alignment horizontal="center"/>
    </xf>
    <xf numFmtId="165" fontId="1" fillId="0" borderId="18" xfId="0" applyNumberFormat="1"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4" fontId="32" fillId="0" borderId="25"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25" xfId="0" applyFont="1" applyBorder="1" applyAlignment="1">
      <alignment horizontal="center" vertical="center" wrapText="1"/>
    </xf>
    <xf numFmtId="11" fontId="32" fillId="0" borderId="2" xfId="0" applyNumberFormat="1" applyFont="1" applyBorder="1" applyAlignment="1">
      <alignment horizontal="center" vertical="center" wrapText="1"/>
    </xf>
    <xf numFmtId="0" fontId="29" fillId="0" borderId="18" xfId="0" applyFont="1" applyBorder="1" applyAlignment="1">
      <alignment horizontal="center" vertical="center"/>
    </xf>
    <xf numFmtId="22" fontId="26" fillId="0" borderId="18" xfId="0" applyNumberFormat="1" applyFont="1" applyBorder="1" applyAlignment="1">
      <alignment horizontal="center" vertical="center" wrapText="1"/>
    </xf>
    <xf numFmtId="22" fontId="26" fillId="0" borderId="18" xfId="0" quotePrefix="1" applyNumberFormat="1" applyFont="1" applyBorder="1" applyAlignment="1">
      <alignment horizontal="center" vertical="center"/>
    </xf>
    <xf numFmtId="22" fontId="26" fillId="0" borderId="18" xfId="0" applyNumberFormat="1" applyFont="1" applyBorder="1" applyAlignment="1">
      <alignment horizontal="center" vertical="center"/>
    </xf>
    <xf numFmtId="3" fontId="26" fillId="0" borderId="18" xfId="0" applyNumberFormat="1" applyFont="1" applyBorder="1" applyAlignment="1">
      <alignment horizontal="center" vertical="center"/>
    </xf>
    <xf numFmtId="1" fontId="26" fillId="0" borderId="18" xfId="0" applyNumberFormat="1" applyFont="1" applyBorder="1" applyAlignment="1">
      <alignment horizontal="center" vertical="center"/>
    </xf>
    <xf numFmtId="0" fontId="26" fillId="0" borderId="18" xfId="0" applyFont="1" applyBorder="1" applyAlignment="1">
      <alignment horizontal="center" vertical="center"/>
    </xf>
    <xf numFmtId="3" fontId="26" fillId="0" borderId="0" xfId="0" applyNumberFormat="1" applyFont="1"/>
    <xf numFmtId="20" fontId="26" fillId="0" borderId="18" xfId="0" quotePrefix="1" applyNumberFormat="1" applyFont="1" applyBorder="1" applyAlignment="1">
      <alignment horizontal="center" vertical="center"/>
    </xf>
    <xf numFmtId="0" fontId="28" fillId="0" borderId="0" xfId="0" applyFont="1" applyAlignment="1">
      <alignment wrapText="1"/>
    </xf>
    <xf numFmtId="0" fontId="26" fillId="0" borderId="0" xfId="0" applyFont="1" applyAlignment="1">
      <alignment horizontal="center"/>
    </xf>
    <xf numFmtId="0" fontId="28" fillId="0" borderId="0" xfId="0" applyFont="1" applyAlignment="1">
      <alignment horizontal="left" vertical="center"/>
    </xf>
    <xf numFmtId="0" fontId="26" fillId="0" borderId="0" xfId="0" applyFont="1" applyAlignment="1">
      <alignment wrapText="1"/>
    </xf>
    <xf numFmtId="3" fontId="26" fillId="0" borderId="0" xfId="0" applyNumberFormat="1" applyFont="1" applyAlignment="1">
      <alignment wrapText="1"/>
    </xf>
    <xf numFmtId="22" fontId="26" fillId="0" borderId="18" xfId="0" applyNumberFormat="1" applyFont="1" applyBorder="1" applyAlignment="1">
      <alignment horizontal="center"/>
    </xf>
    <xf numFmtId="3" fontId="13" fillId="0" borderId="18" xfId="0" applyNumberFormat="1" applyFont="1" applyBorder="1" applyAlignment="1">
      <alignment horizontal="center"/>
    </xf>
    <xf numFmtId="3" fontId="10" fillId="0" borderId="18" xfId="0" applyNumberFormat="1" applyFont="1" applyBorder="1" applyAlignment="1">
      <alignment horizontal="center"/>
    </xf>
    <xf numFmtId="164" fontId="0" fillId="0" borderId="18" xfId="0" applyNumberFormat="1" applyBorder="1" applyAlignment="1">
      <alignment horizontal="center"/>
    </xf>
    <xf numFmtId="0" fontId="34" fillId="0" borderId="18" xfId="1" quotePrefix="1" applyFont="1" applyBorder="1" applyAlignment="1">
      <alignment horizontal="center"/>
    </xf>
    <xf numFmtId="0" fontId="4" fillId="0" borderId="18" xfId="1" applyFont="1" applyBorder="1" applyAlignment="1">
      <alignment horizontal="center"/>
    </xf>
    <xf numFmtId="0" fontId="35" fillId="0" borderId="0" xfId="0" applyFont="1"/>
    <xf numFmtId="0" fontId="33" fillId="0" borderId="0" xfId="0" applyFont="1"/>
    <xf numFmtId="9" fontId="33" fillId="0" borderId="0" xfId="2" applyFont="1"/>
    <xf numFmtId="0" fontId="1" fillId="0" borderId="18" xfId="0" applyFont="1" applyBorder="1" applyAlignment="1">
      <alignment horizontal="center" vertical="center"/>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4" fillId="0" borderId="18" xfId="1" applyFont="1" applyBorder="1"/>
    <xf numFmtId="3" fontId="9" fillId="0" borderId="18"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14" fontId="0" fillId="0" borderId="18" xfId="0" applyNumberFormat="1" applyBorder="1" applyAlignment="1">
      <alignment horizontal="center"/>
    </xf>
    <xf numFmtId="3" fontId="9" fillId="0" borderId="18" xfId="0" applyNumberFormat="1" applyFont="1" applyBorder="1" applyAlignment="1">
      <alignment horizontal="center" vertical="center"/>
    </xf>
    <xf numFmtId="4" fontId="9" fillId="0" borderId="18" xfId="0" applyNumberFormat="1" applyFont="1" applyBorder="1" applyAlignment="1">
      <alignment horizontal="center" vertical="center" wrapText="1"/>
    </xf>
    <xf numFmtId="2" fontId="0" fillId="0" borderId="18" xfId="0" applyNumberFormat="1" applyBorder="1" applyAlignment="1">
      <alignment horizontal="center" vertical="center"/>
    </xf>
    <xf numFmtId="2" fontId="0" fillId="0" borderId="18" xfId="0" applyNumberFormat="1" applyBorder="1" applyAlignment="1">
      <alignment horizontal="center"/>
    </xf>
    <xf numFmtId="10" fontId="0" fillId="0" borderId="18" xfId="2" applyNumberFormat="1" applyFont="1" applyBorder="1" applyAlignment="1">
      <alignment horizontal="center"/>
    </xf>
    <xf numFmtId="0" fontId="4" fillId="0" borderId="18" xfId="1" applyFont="1" applyFill="1" applyBorder="1" applyAlignment="1">
      <alignment horizontal="center" wrapText="1"/>
    </xf>
    <xf numFmtId="2" fontId="9" fillId="0" borderId="18" xfId="0" applyNumberFormat="1" applyFont="1" applyBorder="1" applyAlignment="1">
      <alignment horizontal="center" vertical="center"/>
    </xf>
    <xf numFmtId="165" fontId="9"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168" fontId="9" fillId="0" borderId="18" xfId="0" applyNumberFormat="1" applyFont="1" applyBorder="1" applyAlignment="1">
      <alignment horizontal="center" vertical="center" wrapText="1"/>
    </xf>
    <xf numFmtId="3" fontId="0" fillId="0" borderId="18" xfId="0" applyNumberFormat="1" applyFont="1" applyBorder="1" applyAlignment="1">
      <alignment horizontal="center" vertical="center"/>
    </xf>
    <xf numFmtId="172" fontId="9" fillId="0" borderId="18" xfId="0" applyNumberFormat="1" applyFont="1" applyBorder="1" applyAlignment="1">
      <alignment horizontal="center" vertical="center" wrapText="1"/>
    </xf>
    <xf numFmtId="0" fontId="0" fillId="0" borderId="18" xfId="0" applyFont="1" applyBorder="1"/>
    <xf numFmtId="2" fontId="1" fillId="0" borderId="18" xfId="0" applyNumberFormat="1" applyFont="1" applyBorder="1" applyAlignment="1">
      <alignment horizontal="center" vertical="center"/>
    </xf>
    <xf numFmtId="0" fontId="4" fillId="7" borderId="18" xfId="1" applyFont="1" applyFill="1" applyBorder="1" applyAlignment="1">
      <alignment horizontal="center"/>
    </xf>
    <xf numFmtId="0" fontId="0" fillId="0" borderId="0" xfId="0" applyFill="1"/>
    <xf numFmtId="0" fontId="0" fillId="15" borderId="18" xfId="0" applyFill="1" applyBorder="1" applyAlignment="1">
      <alignment vertical="center" wrapText="1"/>
    </xf>
    <xf numFmtId="0" fontId="0" fillId="15" borderId="18" xfId="0" applyFill="1" applyBorder="1" applyAlignment="1">
      <alignment wrapText="1"/>
    </xf>
    <xf numFmtId="0" fontId="26" fillId="0" borderId="18" xfId="0" applyFont="1" applyBorder="1" applyAlignment="1">
      <alignment vertical="center"/>
    </xf>
    <xf numFmtId="0" fontId="13" fillId="0" borderId="0" xfId="0" applyFont="1" applyAlignment="1">
      <alignment vertical="center"/>
    </xf>
    <xf numFmtId="2" fontId="26" fillId="0" borderId="18" xfId="0" applyNumberFormat="1" applyFont="1" applyBorder="1" applyAlignment="1">
      <alignment vertical="center"/>
    </xf>
    <xf numFmtId="0" fontId="26" fillId="0" borderId="18" xfId="0" quotePrefix="1" applyFont="1" applyBorder="1" applyAlignment="1">
      <alignment vertical="center"/>
    </xf>
    <xf numFmtId="0" fontId="29" fillId="16" borderId="18" xfId="0" applyFont="1" applyFill="1" applyBorder="1" applyAlignment="1">
      <alignment horizontal="center" vertical="center"/>
    </xf>
    <xf numFmtId="165" fontId="0" fillId="0" borderId="18" xfId="0" applyNumberFormat="1" applyBorder="1" applyAlignment="1">
      <alignment horizontal="center" vertical="center"/>
    </xf>
    <xf numFmtId="165" fontId="0" fillId="0" borderId="18" xfId="0" applyNumberFormat="1" applyFont="1" applyBorder="1" applyAlignment="1">
      <alignment horizontal="center" vertical="center" wrapText="1"/>
    </xf>
    <xf numFmtId="0" fontId="0" fillId="0" borderId="18" xfId="0" applyFont="1" applyBorder="1" applyAlignment="1">
      <alignment horizontal="center" vertical="center"/>
    </xf>
    <xf numFmtId="164" fontId="0" fillId="0" borderId="18" xfId="0" applyNumberFormat="1" applyBorder="1" applyAlignment="1">
      <alignment horizontal="center" vertical="center"/>
    </xf>
    <xf numFmtId="14" fontId="4" fillId="0" borderId="18" xfId="1" applyNumberFormat="1" applyFont="1" applyBorder="1" applyAlignment="1">
      <alignment horizontal="center" vertical="center"/>
    </xf>
    <xf numFmtId="0" fontId="4" fillId="0" borderId="18" xfId="1" applyFont="1" applyBorder="1" applyAlignment="1">
      <alignment horizontal="center" vertical="center"/>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0" fillId="18" borderId="18" xfId="0" applyFill="1" applyBorder="1" applyAlignment="1">
      <alignment vertical="center" wrapText="1"/>
    </xf>
    <xf numFmtId="0" fontId="0" fillId="18" borderId="18" xfId="0" applyFill="1" applyBorder="1" applyAlignment="1">
      <alignment wrapText="1"/>
    </xf>
    <xf numFmtId="0" fontId="0" fillId="19" borderId="18" xfId="0" applyFill="1" applyBorder="1" applyAlignment="1">
      <alignment vertical="center"/>
    </xf>
    <xf numFmtId="0" fontId="0" fillId="19" borderId="18" xfId="0" applyFill="1" applyBorder="1" applyAlignment="1">
      <alignment wrapText="1"/>
    </xf>
    <xf numFmtId="0" fontId="13" fillId="0" borderId="0" xfId="5" applyFont="1"/>
    <xf numFmtId="0" fontId="10" fillId="6" borderId="29" xfId="5" applyFont="1" applyFill="1" applyBorder="1" applyAlignment="1">
      <alignment horizontal="center" vertical="center" wrapText="1"/>
    </xf>
    <xf numFmtId="0" fontId="10" fillId="6" borderId="18" xfId="5" applyFont="1" applyFill="1" applyBorder="1" applyAlignment="1">
      <alignment horizontal="center" vertical="center" wrapText="1"/>
    </xf>
    <xf numFmtId="0" fontId="10" fillId="6" borderId="30" xfId="5" applyFont="1" applyFill="1" applyBorder="1" applyAlignment="1">
      <alignment horizontal="center" vertical="center" wrapText="1"/>
    </xf>
    <xf numFmtId="14" fontId="10" fillId="6" borderId="29" xfId="0" applyNumberFormat="1" applyFont="1" applyFill="1" applyBorder="1" applyAlignment="1">
      <alignment horizontal="center" vertical="center" wrapText="1"/>
    </xf>
    <xf numFmtId="3" fontId="10" fillId="6" borderId="18" xfId="0" applyNumberFormat="1" applyFont="1" applyFill="1" applyBorder="1" applyAlignment="1">
      <alignment horizontal="center" vertical="center" wrapText="1"/>
    </xf>
    <xf numFmtId="165" fontId="10" fillId="6" borderId="18" xfId="0" applyNumberFormat="1" applyFont="1" applyFill="1" applyBorder="1" applyAlignment="1">
      <alignment horizontal="center" vertical="center" wrapText="1"/>
    </xf>
    <xf numFmtId="0" fontId="10" fillId="6" borderId="18" xfId="0" applyFont="1" applyFill="1" applyBorder="1" applyAlignment="1">
      <alignment horizontal="center" vertical="center" wrapText="1"/>
    </xf>
    <xf numFmtId="37" fontId="10" fillId="6" borderId="18" xfId="4" applyNumberFormat="1" applyFont="1" applyFill="1" applyBorder="1" applyAlignment="1">
      <alignment horizontal="center" vertical="center" wrapText="1"/>
    </xf>
    <xf numFmtId="1" fontId="10" fillId="6" borderId="18" xfId="0" applyNumberFormat="1" applyFont="1" applyFill="1" applyBorder="1" applyAlignment="1">
      <alignment horizontal="center" vertical="center" wrapText="1"/>
    </xf>
    <xf numFmtId="3" fontId="10" fillId="6" borderId="18" xfId="4" applyNumberFormat="1" applyFont="1" applyFill="1" applyBorder="1" applyAlignment="1">
      <alignment horizontal="center" vertical="center" wrapText="1"/>
    </xf>
    <xf numFmtId="165" fontId="10" fillId="6" borderId="30" xfId="0" applyNumberFormat="1" applyFont="1" applyFill="1" applyBorder="1" applyAlignment="1">
      <alignment horizontal="center" vertical="center" wrapText="1"/>
    </xf>
    <xf numFmtId="175" fontId="13" fillId="0" borderId="29" xfId="6" applyNumberFormat="1" applyFont="1" applyFill="1" applyBorder="1"/>
    <xf numFmtId="175" fontId="13" fillId="0" borderId="18" xfId="6" applyNumberFormat="1" applyFont="1" applyFill="1" applyBorder="1"/>
    <xf numFmtId="0" fontId="13" fillId="0" borderId="18" xfId="5" applyFont="1" applyBorder="1"/>
    <xf numFmtId="11" fontId="13" fillId="0" borderId="30" xfId="5" applyNumberFormat="1" applyFont="1" applyBorder="1"/>
    <xf numFmtId="0" fontId="10" fillId="0" borderId="0" xfId="5" applyFont="1"/>
    <xf numFmtId="14" fontId="13" fillId="0" borderId="29" xfId="0" applyNumberFormat="1" applyFont="1" applyBorder="1" applyAlignment="1">
      <alignment horizontal="center" vertical="center"/>
    </xf>
    <xf numFmtId="3" fontId="13" fillId="0" borderId="18" xfId="0" applyNumberFormat="1" applyFont="1" applyBorder="1" applyAlignment="1">
      <alignment horizontal="center" vertical="center"/>
    </xf>
    <xf numFmtId="165" fontId="13" fillId="0" borderId="18" xfId="0" applyNumberFormat="1" applyFont="1" applyBorder="1" applyAlignment="1">
      <alignment horizontal="center" vertical="center"/>
    </xf>
    <xf numFmtId="0" fontId="13" fillId="0" borderId="18" xfId="0" applyFont="1" applyBorder="1" applyAlignment="1">
      <alignment horizontal="center" vertical="center"/>
    </xf>
    <xf numFmtId="37" fontId="13" fillId="0" borderId="18" xfId="4" applyNumberFormat="1" applyFont="1" applyBorder="1" applyAlignment="1">
      <alignment horizontal="center" vertical="center"/>
    </xf>
    <xf numFmtId="1" fontId="13" fillId="0" borderId="18" xfId="0" applyNumberFormat="1" applyFont="1" applyBorder="1" applyAlignment="1">
      <alignment horizontal="center" vertical="center"/>
    </xf>
    <xf numFmtId="1" fontId="13" fillId="0" borderId="18" xfId="0" applyNumberFormat="1" applyFont="1" applyBorder="1" applyAlignment="1">
      <alignment horizontal="center"/>
    </xf>
    <xf numFmtId="3" fontId="13" fillId="0" borderId="18" xfId="4" applyNumberFormat="1" applyFont="1" applyBorder="1" applyAlignment="1">
      <alignment horizontal="center"/>
    </xf>
    <xf numFmtId="0" fontId="13" fillId="0" borderId="0" xfId="5" quotePrefix="1" applyFont="1"/>
    <xf numFmtId="14" fontId="13" fillId="0" borderId="31" xfId="0" applyNumberFormat="1" applyFont="1" applyBorder="1" applyAlignment="1">
      <alignment horizontal="center" vertical="center"/>
    </xf>
    <xf numFmtId="3" fontId="13" fillId="0" borderId="32" xfId="0" applyNumberFormat="1" applyFont="1" applyBorder="1" applyAlignment="1">
      <alignment horizontal="center" vertical="center"/>
    </xf>
    <xf numFmtId="165" fontId="13" fillId="0" borderId="32" xfId="0" applyNumberFormat="1" applyFont="1" applyBorder="1" applyAlignment="1">
      <alignment horizontal="center" vertical="center"/>
    </xf>
    <xf numFmtId="37" fontId="13" fillId="0" borderId="32" xfId="4" applyNumberFormat="1" applyFont="1" applyBorder="1" applyAlignment="1">
      <alignment horizontal="center" vertical="center"/>
    </xf>
    <xf numFmtId="1" fontId="13" fillId="0" borderId="32" xfId="0" applyNumberFormat="1" applyFont="1" applyBorder="1" applyAlignment="1">
      <alignment horizontal="center" vertical="center"/>
    </xf>
    <xf numFmtId="1" fontId="13" fillId="0" borderId="32" xfId="0" applyNumberFormat="1" applyFont="1" applyBorder="1" applyAlignment="1">
      <alignment horizontal="center"/>
    </xf>
    <xf numFmtId="3" fontId="10" fillId="0" borderId="32" xfId="4" applyNumberFormat="1" applyFont="1" applyBorder="1" applyAlignment="1">
      <alignment horizontal="right"/>
    </xf>
    <xf numFmtId="165" fontId="10" fillId="0" borderId="33" xfId="0" applyNumberFormat="1" applyFont="1" applyBorder="1" applyAlignment="1">
      <alignment horizontal="center" vertical="center"/>
    </xf>
    <xf numFmtId="0" fontId="10" fillId="0" borderId="0" xfId="0" applyFont="1"/>
    <xf numFmtId="3" fontId="33" fillId="0" borderId="0" xfId="0" applyNumberFormat="1" applyFont="1" applyAlignment="1">
      <alignment horizontal="center" vertical="center"/>
    </xf>
    <xf numFmtId="165" fontId="33" fillId="0" borderId="0" xfId="0" applyNumberFormat="1" applyFont="1" applyAlignment="1">
      <alignment horizontal="center" vertical="center"/>
    </xf>
    <xf numFmtId="0" fontId="33" fillId="0" borderId="0" xfId="0" applyFont="1" applyAlignment="1">
      <alignment horizontal="center" vertical="center"/>
    </xf>
    <xf numFmtId="37" fontId="33" fillId="0" borderId="0" xfId="4" applyNumberFormat="1" applyFont="1" applyAlignment="1">
      <alignment horizontal="center" vertical="center"/>
    </xf>
    <xf numFmtId="1" fontId="33" fillId="0" borderId="0" xfId="0" applyNumberFormat="1" applyFont="1" applyAlignment="1">
      <alignment horizontal="center" vertical="center"/>
    </xf>
    <xf numFmtId="3" fontId="33" fillId="0" borderId="0" xfId="4" applyNumberFormat="1" applyFont="1" applyAlignment="1">
      <alignment horizontal="center" vertical="center"/>
    </xf>
    <xf numFmtId="14" fontId="13" fillId="0" borderId="0" xfId="0" applyNumberFormat="1" applyFont="1" applyAlignment="1">
      <alignment horizontal="left"/>
    </xf>
    <xf numFmtId="175" fontId="13" fillId="0" borderId="34" xfId="6" applyNumberFormat="1" applyFont="1" applyFill="1" applyBorder="1"/>
    <xf numFmtId="0" fontId="13" fillId="0" borderId="35" xfId="5" applyFont="1" applyBorder="1"/>
    <xf numFmtId="175" fontId="13" fillId="0" borderId="35" xfId="6" applyNumberFormat="1" applyFont="1" applyFill="1" applyBorder="1"/>
    <xf numFmtId="11" fontId="13" fillId="0" borderId="36" xfId="5" applyNumberFormat="1" applyFont="1" applyBorder="1"/>
    <xf numFmtId="14" fontId="10" fillId="0" borderId="37" xfId="0" applyNumberFormat="1" applyFont="1" applyBorder="1" applyAlignment="1">
      <alignment horizontal="left"/>
    </xf>
    <xf numFmtId="14" fontId="33" fillId="0" borderId="38" xfId="0" applyNumberFormat="1" applyFont="1" applyBorder="1" applyAlignment="1">
      <alignment horizontal="left"/>
    </xf>
    <xf numFmtId="1" fontId="33" fillId="0" borderId="38" xfId="0" applyNumberFormat="1" applyFont="1" applyBorder="1" applyAlignment="1">
      <alignment horizontal="center" vertical="center"/>
    </xf>
    <xf numFmtId="1" fontId="0" fillId="0" borderId="38" xfId="0" applyNumberFormat="1" applyBorder="1"/>
    <xf numFmtId="3" fontId="33" fillId="0" borderId="38" xfId="4" applyNumberFormat="1" applyFont="1" applyBorder="1" applyAlignment="1">
      <alignment horizontal="center" vertical="center"/>
    </xf>
    <xf numFmtId="165" fontId="33" fillId="0" borderId="38" xfId="0" applyNumberFormat="1" applyFont="1" applyBorder="1" applyAlignment="1">
      <alignment horizontal="center" vertical="center"/>
    </xf>
    <xf numFmtId="0" fontId="13" fillId="0" borderId="38" xfId="5" applyFont="1" applyBorder="1"/>
    <xf numFmtId="0" fontId="13" fillId="0" borderId="1" xfId="5" applyFont="1" applyBorder="1"/>
    <xf numFmtId="0" fontId="38" fillId="0" borderId="39" xfId="7" applyFont="1" applyBorder="1" applyAlignment="1">
      <alignment horizontal="center" vertical="center" wrapText="1"/>
    </xf>
    <xf numFmtId="0" fontId="10" fillId="0" borderId="40" xfId="5" applyFont="1" applyBorder="1" applyAlignment="1">
      <alignment horizontal="center" vertical="center" wrapText="1"/>
    </xf>
    <xf numFmtId="0" fontId="10" fillId="0" borderId="41" xfId="5" applyFont="1" applyBorder="1" applyAlignment="1">
      <alignment horizontal="center" vertical="center" wrapText="1"/>
    </xf>
    <xf numFmtId="0" fontId="40" fillId="0" borderId="29" xfId="8" applyFont="1" applyBorder="1" applyAlignment="1">
      <alignment horizontal="right"/>
    </xf>
    <xf numFmtId="0" fontId="41" fillId="0" borderId="18" xfId="8" applyFont="1" applyBorder="1" applyAlignment="1">
      <alignment horizontal="center"/>
    </xf>
    <xf numFmtId="0" fontId="41" fillId="0" borderId="30" xfId="8" applyFont="1" applyBorder="1" applyAlignment="1">
      <alignment horizontal="center"/>
    </xf>
    <xf numFmtId="0" fontId="13" fillId="0" borderId="29" xfId="5" applyFont="1" applyBorder="1"/>
    <xf numFmtId="1" fontId="13" fillId="0" borderId="18" xfId="5" applyNumberFormat="1" applyFont="1" applyBorder="1"/>
    <xf numFmtId="165" fontId="13" fillId="0" borderId="18" xfId="5" applyNumberFormat="1" applyFont="1" applyBorder="1"/>
    <xf numFmtId="175" fontId="13" fillId="0" borderId="18" xfId="6" applyNumberFormat="1" applyFont="1" applyBorder="1"/>
    <xf numFmtId="2" fontId="13" fillId="0" borderId="18" xfId="5" applyNumberFormat="1" applyFont="1" applyBorder="1"/>
    <xf numFmtId="43" fontId="13" fillId="0" borderId="18" xfId="6" applyFont="1" applyBorder="1"/>
    <xf numFmtId="172" fontId="13" fillId="0" borderId="18" xfId="6" applyNumberFormat="1" applyFont="1" applyBorder="1"/>
    <xf numFmtId="176" fontId="13" fillId="0" borderId="30" xfId="6" applyNumberFormat="1" applyFont="1" applyBorder="1"/>
    <xf numFmtId="14" fontId="41" fillId="0" borderId="18" xfId="8" applyNumberFormat="1" applyFont="1" applyBorder="1" applyAlignment="1">
      <alignment horizontal="center"/>
    </xf>
    <xf numFmtId="14" fontId="41" fillId="0" borderId="30" xfId="8" applyNumberFormat="1" applyFont="1" applyBorder="1" applyAlignment="1">
      <alignment horizontal="center"/>
    </xf>
    <xf numFmtId="0" fontId="41" fillId="0" borderId="18" xfId="8" quotePrefix="1" applyFont="1" applyBorder="1" applyAlignment="1">
      <alignment horizontal="center"/>
    </xf>
    <xf numFmtId="0" fontId="41" fillId="0" borderId="30" xfId="8" quotePrefix="1" applyFont="1" applyBorder="1" applyAlignment="1">
      <alignment horizontal="center"/>
    </xf>
    <xf numFmtId="0" fontId="13" fillId="0" borderId="42" xfId="5" applyFont="1" applyBorder="1"/>
    <xf numFmtId="0" fontId="13" fillId="0" borderId="43" xfId="5" applyFont="1" applyBorder="1"/>
    <xf numFmtId="43" fontId="13" fillId="0" borderId="0" xfId="5" applyNumberFormat="1" applyFont="1"/>
    <xf numFmtId="0" fontId="42" fillId="0" borderId="29" xfId="8" applyFont="1" applyBorder="1" applyAlignment="1">
      <alignment horizontal="left"/>
    </xf>
    <xf numFmtId="0" fontId="13" fillId="0" borderId="3" xfId="5" applyFont="1" applyBorder="1"/>
    <xf numFmtId="0" fontId="41" fillId="0" borderId="29" xfId="8" applyFont="1" applyBorder="1" applyAlignment="1">
      <alignment horizontal="left"/>
    </xf>
    <xf numFmtId="178" fontId="40" fillId="0" borderId="18" xfId="8" applyNumberFormat="1" applyFont="1" applyBorder="1" applyAlignment="1">
      <alignment horizontal="center"/>
    </xf>
    <xf numFmtId="0" fontId="40" fillId="0" borderId="18" xfId="8" applyFont="1" applyBorder="1" applyAlignment="1">
      <alignment horizontal="center"/>
    </xf>
    <xf numFmtId="0" fontId="40" fillId="0" borderId="30" xfId="8" applyFont="1" applyBorder="1" applyAlignment="1">
      <alignment horizontal="center"/>
    </xf>
    <xf numFmtId="0" fontId="13" fillId="0" borderId="9" xfId="5" applyFont="1" applyBorder="1"/>
    <xf numFmtId="178" fontId="41" fillId="0" borderId="18" xfId="8" applyNumberFormat="1" applyFont="1" applyBorder="1" applyAlignment="1">
      <alignment horizontal="center"/>
    </xf>
    <xf numFmtId="178" fontId="41" fillId="0" borderId="30" xfId="8" applyNumberFormat="1" applyFont="1" applyBorder="1" applyAlignment="1">
      <alignment horizontal="center"/>
    </xf>
    <xf numFmtId="178" fontId="40" fillId="0" borderId="30" xfId="8" applyNumberFormat="1" applyFont="1" applyBorder="1" applyAlignment="1">
      <alignment horizontal="center"/>
    </xf>
    <xf numFmtId="0" fontId="41" fillId="0" borderId="29" xfId="9" applyFont="1" applyBorder="1" applyAlignment="1">
      <alignment horizontal="left" vertical="center"/>
    </xf>
    <xf numFmtId="0" fontId="13" fillId="0" borderId="37" xfId="5" applyFont="1" applyBorder="1"/>
    <xf numFmtId="0" fontId="13" fillId="0" borderId="4" xfId="5" applyFont="1" applyBorder="1"/>
    <xf numFmtId="0" fontId="13" fillId="0" borderId="30" xfId="5" applyFont="1" applyBorder="1"/>
    <xf numFmtId="0" fontId="13" fillId="0" borderId="45" xfId="5" applyFont="1" applyBorder="1"/>
    <xf numFmtId="0" fontId="13" fillId="0" borderId="46" xfId="5" applyFont="1" applyBorder="1"/>
    <xf numFmtId="0" fontId="13" fillId="0" borderId="13" xfId="5" applyFont="1" applyBorder="1"/>
    <xf numFmtId="0" fontId="13" fillId="0" borderId="44" xfId="5" applyFont="1" applyBorder="1"/>
    <xf numFmtId="0" fontId="13" fillId="0" borderId="15" xfId="5" applyFont="1" applyBorder="1"/>
    <xf numFmtId="0" fontId="13" fillId="0" borderId="47" xfId="5" applyFont="1" applyBorder="1"/>
    <xf numFmtId="0" fontId="13" fillId="0" borderId="5" xfId="5" applyFont="1" applyBorder="1"/>
    <xf numFmtId="0" fontId="13" fillId="0" borderId="48" xfId="5" applyFont="1" applyBorder="1"/>
    <xf numFmtId="0" fontId="40" fillId="0" borderId="29" xfId="8" applyFont="1" applyBorder="1" applyAlignment="1">
      <alignment horizontal="left"/>
    </xf>
    <xf numFmtId="3" fontId="10" fillId="0" borderId="30" xfId="0" applyNumberFormat="1" applyFont="1" applyBorder="1" applyAlignment="1">
      <alignment horizontal="center"/>
    </xf>
    <xf numFmtId="0" fontId="13" fillId="0" borderId="20" xfId="5" applyFont="1" applyBorder="1"/>
    <xf numFmtId="179" fontId="38" fillId="0" borderId="18" xfId="0" applyNumberFormat="1" applyFont="1" applyBorder="1" applyAlignment="1">
      <alignment horizontal="center"/>
    </xf>
    <xf numFmtId="179" fontId="38" fillId="0" borderId="30" xfId="0" applyNumberFormat="1" applyFont="1" applyBorder="1" applyAlignment="1">
      <alignment horizontal="center"/>
    </xf>
    <xf numFmtId="0" fontId="10" fillId="0" borderId="29" xfId="0" applyFont="1" applyBorder="1" applyAlignment="1">
      <alignment horizontal="left"/>
    </xf>
    <xf numFmtId="180" fontId="10" fillId="0" borderId="18" xfId="0" applyNumberFormat="1" applyFont="1" applyBorder="1" applyAlignment="1">
      <alignment horizontal="center"/>
    </xf>
    <xf numFmtId="180" fontId="13" fillId="0" borderId="0" xfId="0" applyNumberFormat="1" applyFont="1" applyAlignment="1">
      <alignment horizontal="center"/>
    </xf>
    <xf numFmtId="3" fontId="10" fillId="0" borderId="0" xfId="0" applyNumberFormat="1" applyFont="1" applyAlignment="1">
      <alignment horizontal="center"/>
    </xf>
    <xf numFmtId="3" fontId="10" fillId="0" borderId="4" xfId="0" applyNumberFormat="1" applyFont="1" applyBorder="1" applyAlignment="1">
      <alignment horizontal="center"/>
    </xf>
    <xf numFmtId="0" fontId="10" fillId="0" borderId="34" xfId="0" applyFont="1" applyBorder="1" applyAlignment="1">
      <alignment horizontal="left"/>
    </xf>
    <xf numFmtId="180" fontId="10" fillId="0" borderId="35" xfId="0" applyNumberFormat="1" applyFont="1" applyBorder="1" applyAlignment="1">
      <alignment horizontal="center"/>
    </xf>
    <xf numFmtId="180" fontId="13" fillId="0" borderId="9" xfId="0" applyNumberFormat="1" applyFont="1" applyBorder="1" applyAlignment="1">
      <alignment horizontal="center"/>
    </xf>
    <xf numFmtId="3" fontId="10" fillId="0" borderId="9" xfId="0" applyNumberFormat="1" applyFont="1" applyBorder="1" applyAlignment="1">
      <alignment horizontal="center"/>
    </xf>
    <xf numFmtId="3" fontId="10" fillId="0" borderId="2" xfId="0" applyNumberFormat="1" applyFont="1" applyBorder="1" applyAlignment="1">
      <alignment horizontal="center"/>
    </xf>
    <xf numFmtId="0" fontId="13" fillId="0" borderId="19" xfId="5" applyFont="1" applyBorder="1"/>
    <xf numFmtId="0" fontId="13" fillId="0" borderId="11" xfId="5" applyFont="1" applyBorder="1"/>
    <xf numFmtId="0" fontId="13" fillId="0" borderId="22" xfId="5" applyFont="1" applyBorder="1"/>
    <xf numFmtId="0" fontId="13" fillId="7" borderId="30" xfId="5" applyFont="1" applyFill="1" applyBorder="1"/>
    <xf numFmtId="0" fontId="13" fillId="0" borderId="2" xfId="5" applyFont="1" applyBorder="1"/>
    <xf numFmtId="0" fontId="13" fillId="0" borderId="0" xfId="0" applyFont="1" applyAlignment="1">
      <alignment horizontal="center"/>
    </xf>
    <xf numFmtId="43" fontId="10" fillId="0" borderId="4" xfId="5" applyNumberFormat="1" applyFont="1" applyBorder="1"/>
    <xf numFmtId="0" fontId="43" fillId="0" borderId="38" xfId="5" applyFont="1" applyBorder="1" applyAlignment="1">
      <alignment horizontal="center"/>
    </xf>
    <xf numFmtId="0" fontId="10" fillId="21" borderId="0" xfId="5" applyFont="1" applyFill="1"/>
    <xf numFmtId="0" fontId="13" fillId="21" borderId="0" xfId="5" applyFont="1" applyFill="1"/>
    <xf numFmtId="0" fontId="13" fillId="0" borderId="29" xfId="5" applyFont="1" applyFill="1" applyBorder="1"/>
    <xf numFmtId="0" fontId="13" fillId="0" borderId="0" xfId="5" applyFont="1" applyBorder="1"/>
    <xf numFmtId="0" fontId="10" fillId="0" borderId="0" xfId="0" applyFont="1" applyBorder="1" applyAlignment="1">
      <alignment horizontal="right"/>
    </xf>
    <xf numFmtId="0" fontId="14" fillId="0" borderId="3" xfId="5" applyFont="1" applyBorder="1"/>
    <xf numFmtId="0" fontId="13" fillId="0" borderId="3" xfId="0" applyFont="1" applyBorder="1" applyAlignment="1">
      <alignment horizontal="left" vertical="top"/>
    </xf>
    <xf numFmtId="175" fontId="13" fillId="0" borderId="0" xfId="5" applyNumberFormat="1" applyFont="1" applyBorder="1"/>
    <xf numFmtId="177" fontId="13" fillId="0" borderId="0" xfId="5" applyNumberFormat="1" applyFont="1" applyBorder="1"/>
    <xf numFmtId="0" fontId="13" fillId="0" borderId="8" xfId="0" applyFont="1" applyBorder="1" applyAlignment="1">
      <alignment horizontal="left" vertical="top"/>
    </xf>
    <xf numFmtId="0" fontId="10" fillId="0" borderId="0" xfId="5" applyFont="1" applyBorder="1" applyAlignment="1">
      <alignment horizontal="right"/>
    </xf>
    <xf numFmtId="181" fontId="10" fillId="0" borderId="4" xfId="5" applyNumberFormat="1" applyFont="1" applyBorder="1"/>
    <xf numFmtId="165" fontId="13" fillId="0" borderId="30" xfId="0" applyNumberFormat="1" applyFont="1" applyBorder="1" applyAlignment="1">
      <alignment horizontal="center" vertical="center"/>
    </xf>
    <xf numFmtId="0" fontId="44" fillId="17" borderId="18" xfId="0" applyFont="1" applyFill="1" applyBorder="1" applyAlignment="1">
      <alignment vertical="center" wrapText="1"/>
    </xf>
    <xf numFmtId="0" fontId="44" fillId="17" borderId="18" xfId="0" applyFont="1" applyFill="1" applyBorder="1" applyAlignment="1">
      <alignment wrapText="1"/>
    </xf>
    <xf numFmtId="167" fontId="0" fillId="0" borderId="18" xfId="2" applyNumberFormat="1" applyFont="1" applyFill="1" applyBorder="1" applyAlignment="1">
      <alignment horizontal="center"/>
    </xf>
    <xf numFmtId="9" fontId="0" fillId="0" borderId="18" xfId="2" applyNumberFormat="1" applyFont="1" applyFill="1" applyBorder="1" applyAlignment="1">
      <alignment horizontal="center"/>
    </xf>
    <xf numFmtId="1" fontId="13" fillId="0" borderId="18" xfId="5" applyNumberFormat="1" applyFont="1" applyFill="1" applyBorder="1"/>
    <xf numFmtId="3" fontId="4" fillId="0" borderId="18" xfId="1" applyNumberFormat="1" applyFont="1" applyBorder="1"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8" xfId="0" applyBorder="1" applyAlignment="1">
      <alignment horizontal="center" vertical="center"/>
    </xf>
    <xf numFmtId="0" fontId="1" fillId="0" borderId="18" xfId="0" applyFont="1" applyBorder="1" applyAlignment="1">
      <alignment horizontal="center"/>
    </xf>
    <xf numFmtId="0" fontId="0" fillId="0" borderId="18" xfId="0" applyBorder="1" applyAlignment="1">
      <alignment horizontal="center" vertical="center"/>
    </xf>
    <xf numFmtId="0" fontId="1" fillId="0" borderId="18" xfId="0" applyFont="1" applyBorder="1" applyAlignment="1">
      <alignment horizontal="center"/>
    </xf>
    <xf numFmtId="0" fontId="33" fillId="0" borderId="0" xfId="0" applyFont="1" applyAlignment="1">
      <alignment horizontal="left" wrapText="1"/>
    </xf>
    <xf numFmtId="0" fontId="17" fillId="0" borderId="0" xfId="0" quotePrefix="1" applyFont="1" applyAlignment="1">
      <alignment horizontal="left" wrapText="1"/>
    </xf>
    <xf numFmtId="0" fontId="17" fillId="0" borderId="0" xfId="0" quotePrefix="1" applyFont="1" applyAlignment="1">
      <alignment horizontal="left"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2" fontId="10" fillId="6" borderId="3" xfId="0" applyNumberFormat="1"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8" xfId="0" applyNumberFormat="1" applyFont="1" applyFill="1" applyBorder="1" applyAlignment="1">
      <alignment horizontal="center" vertical="center" wrapText="1"/>
    </xf>
    <xf numFmtId="2" fontId="10" fillId="6" borderId="9" xfId="0" applyNumberFormat="1" applyFont="1" applyFill="1" applyBorder="1" applyAlignment="1">
      <alignment horizontal="center" vertical="center" wrapText="1"/>
    </xf>
    <xf numFmtId="0" fontId="0" fillId="4" borderId="12" xfId="0" applyFill="1" applyBorder="1" applyAlignment="1">
      <alignment horizontal="center"/>
    </xf>
    <xf numFmtId="0" fontId="0" fillId="8" borderId="12" xfId="0" applyFill="1" applyBorder="1" applyAlignment="1">
      <alignment horizontal="center" wrapText="1"/>
    </xf>
    <xf numFmtId="2" fontId="10" fillId="6" borderId="5" xfId="0" applyNumberFormat="1" applyFont="1" applyFill="1" applyBorder="1" applyAlignment="1">
      <alignment horizontal="center" vertical="center" wrapText="1"/>
    </xf>
    <xf numFmtId="2" fontId="10" fillId="6" borderId="6" xfId="0" applyNumberFormat="1" applyFont="1" applyFill="1" applyBorder="1" applyAlignment="1">
      <alignment horizontal="center" vertical="center" wrapText="1"/>
    </xf>
    <xf numFmtId="0" fontId="10" fillId="6" borderId="26" xfId="5" applyFont="1" applyFill="1" applyBorder="1" applyAlignment="1">
      <alignment horizontal="center"/>
    </xf>
    <xf numFmtId="0" fontId="10" fillId="6" borderId="27" xfId="5" applyFont="1" applyFill="1" applyBorder="1" applyAlignment="1">
      <alignment horizontal="center"/>
    </xf>
    <xf numFmtId="0" fontId="10" fillId="6" borderId="28" xfId="5" applyFont="1" applyFill="1" applyBorder="1" applyAlignment="1">
      <alignment horizontal="center"/>
    </xf>
    <xf numFmtId="0" fontId="26" fillId="0" borderId="3" xfId="5" applyFont="1" applyBorder="1" applyAlignment="1">
      <alignment horizontal="left" vertical="center" wrapText="1"/>
    </xf>
    <xf numFmtId="0" fontId="26" fillId="0" borderId="0" xfId="5" applyFont="1" applyAlignment="1">
      <alignment horizontal="left" vertical="center" wrapText="1"/>
    </xf>
    <xf numFmtId="0" fontId="26" fillId="0" borderId="8" xfId="5" applyFont="1" applyBorder="1" applyAlignment="1">
      <alignment horizontal="left" vertical="center" wrapText="1"/>
    </xf>
    <xf numFmtId="0" fontId="26" fillId="0" borderId="9" xfId="5" applyFont="1" applyBorder="1" applyAlignment="1">
      <alignment horizontal="left" vertical="center" wrapText="1"/>
    </xf>
    <xf numFmtId="0" fontId="10" fillId="6" borderId="26" xfId="5" applyFont="1" applyFill="1" applyBorder="1" applyAlignment="1">
      <alignment horizontal="center" vertical="center"/>
    </xf>
    <xf numFmtId="0" fontId="10" fillId="6" borderId="27" xfId="5" applyFont="1" applyFill="1" applyBorder="1" applyAlignment="1">
      <alignment horizontal="center" vertical="center"/>
    </xf>
    <xf numFmtId="0" fontId="10" fillId="6" borderId="28" xfId="5" applyFont="1" applyFill="1" applyBorder="1" applyAlignment="1">
      <alignment horizontal="center" vertical="center"/>
    </xf>
    <xf numFmtId="0" fontId="1" fillId="6" borderId="0" xfId="0" applyFont="1" applyFill="1" applyAlignment="1">
      <alignment horizontal="center"/>
    </xf>
    <xf numFmtId="0" fontId="5" fillId="0" borderId="0" xfId="0" applyFont="1" applyAlignment="1">
      <alignment horizontal="center"/>
    </xf>
    <xf numFmtId="0" fontId="26" fillId="0" borderId="0" xfId="0" applyFont="1" applyAlignment="1">
      <alignment horizontal="left" vertical="center" wrapText="1"/>
    </xf>
    <xf numFmtId="0" fontId="26" fillId="0" borderId="0" xfId="0" applyFont="1" applyAlignment="1">
      <alignment horizontal="left" wrapText="1"/>
    </xf>
    <xf numFmtId="0" fontId="4" fillId="0" borderId="49" xfId="1" applyFont="1" applyBorder="1" applyAlignment="1">
      <alignment horizontal="center"/>
    </xf>
    <xf numFmtId="0" fontId="10" fillId="5" borderId="18"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18" xfId="0" applyFont="1" applyFill="1" applyBorder="1" applyAlignment="1">
      <alignment horizontal="center" vertical="center" wrapText="1"/>
    </xf>
    <xf numFmtId="2" fontId="10" fillId="5" borderId="18" xfId="0" applyNumberFormat="1" applyFont="1" applyFill="1" applyBorder="1" applyAlignment="1">
      <alignment horizontal="center" vertical="center" wrapText="1"/>
    </xf>
    <xf numFmtId="0" fontId="10" fillId="5" borderId="21" xfId="0" applyFont="1" applyFill="1" applyBorder="1" applyAlignment="1">
      <alignment horizontal="center" vertical="center" wrapText="1"/>
    </xf>
    <xf numFmtId="165" fontId="13" fillId="0" borderId="18" xfId="0" applyNumberFormat="1" applyFont="1" applyBorder="1" applyAlignment="1">
      <alignment horizontal="center" vertical="center" wrapText="1"/>
    </xf>
    <xf numFmtId="2" fontId="13" fillId="0" borderId="18" xfId="0" applyNumberFormat="1" applyFont="1" applyBorder="1" applyAlignment="1">
      <alignment horizontal="center" vertical="center" wrapText="1"/>
    </xf>
    <xf numFmtId="0" fontId="4" fillId="3" borderId="50" xfId="1" applyFont="1" applyFill="1" applyBorder="1" applyAlignment="1">
      <alignment horizontal="center"/>
    </xf>
    <xf numFmtId="0" fontId="4" fillId="3" borderId="50" xfId="3" applyFont="1" applyFill="1" applyBorder="1" applyAlignment="1">
      <alignment horizontal="center"/>
    </xf>
    <xf numFmtId="0" fontId="4" fillId="0" borderId="49" xfId="1" applyFont="1" applyBorder="1"/>
    <xf numFmtId="14" fontId="4" fillId="0" borderId="49" xfId="1" applyNumberFormat="1" applyFont="1" applyBorder="1" applyAlignment="1">
      <alignment horizontal="right"/>
    </xf>
    <xf numFmtId="0" fontId="4" fillId="0" borderId="49" xfId="1" applyFont="1" applyBorder="1" applyAlignment="1">
      <alignment horizontal="right"/>
    </xf>
    <xf numFmtId="0" fontId="4" fillId="0" borderId="49" xfId="1" applyFont="1" applyFill="1" applyBorder="1"/>
    <xf numFmtId="0" fontId="4" fillId="0" borderId="49" xfId="3" applyFont="1" applyBorder="1"/>
    <xf numFmtId="14" fontId="4" fillId="0" borderId="49" xfId="3" applyNumberFormat="1" applyFont="1" applyBorder="1" applyAlignment="1">
      <alignment horizontal="right"/>
    </xf>
    <xf numFmtId="0" fontId="4" fillId="0" borderId="49" xfId="3" applyFont="1" applyBorder="1" applyAlignment="1">
      <alignment horizontal="right"/>
    </xf>
    <xf numFmtId="0" fontId="4" fillId="0" borderId="49" xfId="3" applyFont="1" applyFill="1" applyBorder="1"/>
    <xf numFmtId="3" fontId="4" fillId="0" borderId="49" xfId="1" applyNumberFormat="1" applyFont="1" applyFill="1" applyBorder="1"/>
    <xf numFmtId="3" fontId="4" fillId="0" borderId="49" xfId="3" applyNumberFormat="1" applyFont="1" applyFill="1" applyBorder="1"/>
    <xf numFmtId="4" fontId="4" fillId="0" borderId="49" xfId="1" applyNumberFormat="1" applyFont="1" applyFill="1" applyBorder="1"/>
    <xf numFmtId="0" fontId="4" fillId="0" borderId="49" xfId="3" applyFont="1" applyBorder="1" applyAlignment="1">
      <alignment wrapText="1"/>
    </xf>
    <xf numFmtId="14" fontId="4" fillId="0" borderId="49" xfId="3" applyNumberFormat="1" applyFont="1" applyBorder="1" applyAlignment="1">
      <alignment horizontal="right" wrapText="1"/>
    </xf>
    <xf numFmtId="0" fontId="4" fillId="0" borderId="49" xfId="3" applyFont="1" applyBorder="1" applyAlignment="1">
      <alignment horizontal="right" wrapText="1"/>
    </xf>
    <xf numFmtId="0" fontId="4" fillId="0" borderId="49" xfId="3" applyFont="1" applyFill="1" applyBorder="1" applyAlignment="1">
      <alignment wrapText="1"/>
    </xf>
    <xf numFmtId="0" fontId="13" fillId="0" borderId="51" xfId="5" applyFont="1" applyBorder="1"/>
    <xf numFmtId="0" fontId="13" fillId="0" borderId="6" xfId="5" applyFont="1" applyBorder="1"/>
    <xf numFmtId="0" fontId="13" fillId="0" borderId="52" xfId="5" applyFont="1" applyBorder="1"/>
    <xf numFmtId="0" fontId="13" fillId="0" borderId="7" xfId="5" applyFont="1" applyBorder="1"/>
    <xf numFmtId="0" fontId="10" fillId="0" borderId="52" xfId="5" applyFont="1" applyBorder="1" applyAlignment="1">
      <alignment horizontal="center"/>
    </xf>
    <xf numFmtId="0" fontId="10" fillId="0" borderId="6" xfId="5" applyFont="1" applyBorder="1" applyAlignment="1">
      <alignment horizontal="center"/>
    </xf>
    <xf numFmtId="0" fontId="10" fillId="0" borderId="7" xfId="5" applyFont="1" applyBorder="1" applyAlignment="1">
      <alignment horizontal="center"/>
    </xf>
    <xf numFmtId="0" fontId="13" fillId="20" borderId="51" xfId="5" applyFont="1" applyFill="1" applyBorder="1"/>
    <xf numFmtId="0" fontId="13" fillId="20" borderId="7" xfId="5" applyFont="1" applyFill="1" applyBorder="1"/>
    <xf numFmtId="0" fontId="6" fillId="4" borderId="18" xfId="0" applyFont="1" applyFill="1" applyBorder="1" applyAlignment="1">
      <alignment horizontal="center"/>
    </xf>
    <xf numFmtId="0" fontId="6" fillId="4" borderId="18" xfId="0" applyFont="1" applyFill="1" applyBorder="1" applyAlignment="1">
      <alignment horizontal="center" wrapText="1"/>
    </xf>
    <xf numFmtId="14" fontId="7" fillId="0" borderId="18" xfId="0" applyNumberFormat="1" applyFont="1" applyBorder="1" applyAlignment="1">
      <alignment horizontal="center"/>
    </xf>
    <xf numFmtId="0" fontId="21" fillId="0" borderId="18" xfId="0" applyFont="1" applyBorder="1" applyAlignment="1">
      <alignment horizontal="center" wrapText="1"/>
    </xf>
    <xf numFmtId="3" fontId="0" fillId="0" borderId="18" xfId="0" applyNumberFormat="1" applyBorder="1" applyAlignment="1">
      <alignment horizontal="center"/>
    </xf>
    <xf numFmtId="0" fontId="0" fillId="0" borderId="18" xfId="0" applyBorder="1" applyAlignment="1">
      <alignment horizontal="center" vertical="center" wrapText="1"/>
    </xf>
    <xf numFmtId="166" fontId="0" fillId="0" borderId="18" xfId="0" applyNumberFormat="1" applyBorder="1" applyAlignment="1">
      <alignment horizontal="center" vertical="center" wrapText="1"/>
    </xf>
    <xf numFmtId="166" fontId="0" fillId="0" borderId="18" xfId="0" applyNumberFormat="1" applyBorder="1" applyAlignment="1">
      <alignment horizontal="center" vertical="center"/>
    </xf>
    <xf numFmtId="3" fontId="0" fillId="0" borderId="18" xfId="0" applyNumberFormat="1" applyBorder="1"/>
    <xf numFmtId="0" fontId="29" fillId="0" borderId="6" xfId="0" applyFont="1" applyBorder="1" applyAlignment="1">
      <alignment horizontal="center" vertical="center" wrapText="1"/>
    </xf>
    <xf numFmtId="0" fontId="26" fillId="0" borderId="18" xfId="0" applyFont="1" applyBorder="1" applyAlignment="1">
      <alignment horizontal="center" vertical="center" wrapText="1"/>
    </xf>
    <xf numFmtId="14" fontId="26" fillId="0" borderId="18" xfId="0" applyNumberFormat="1" applyFont="1" applyBorder="1" applyAlignment="1">
      <alignment horizontal="center" vertical="center" wrapText="1"/>
    </xf>
    <xf numFmtId="3" fontId="26" fillId="0" borderId="22" xfId="0" applyNumberFormat="1" applyFont="1" applyBorder="1" applyAlignment="1">
      <alignment horizontal="center" vertical="center"/>
    </xf>
    <xf numFmtId="2" fontId="26" fillId="0" borderId="46" xfId="0" applyNumberFormat="1" applyFont="1" applyBorder="1" applyAlignment="1">
      <alignment horizontal="center" vertical="center" wrapText="1"/>
    </xf>
    <xf numFmtId="168" fontId="26" fillId="0" borderId="46" xfId="0" applyNumberFormat="1" applyFont="1" applyBorder="1" applyAlignment="1">
      <alignment horizontal="center" vertical="center"/>
    </xf>
    <xf numFmtId="3" fontId="26" fillId="0" borderId="18" xfId="0" applyNumberFormat="1" applyFont="1" applyBorder="1" applyAlignment="1">
      <alignment horizontal="center" vertical="center" wrapText="1"/>
    </xf>
    <xf numFmtId="171" fontId="26" fillId="0" borderId="22" xfId="0" applyNumberFormat="1" applyFont="1" applyBorder="1" applyAlignment="1">
      <alignment horizontal="center" vertical="center"/>
    </xf>
    <xf numFmtId="168" fontId="26" fillId="0" borderId="22" xfId="0" applyNumberFormat="1" applyFont="1" applyBorder="1" applyAlignment="1">
      <alignment horizontal="center" vertical="center"/>
    </xf>
    <xf numFmtId="169" fontId="26" fillId="0" borderId="22" xfId="0" applyNumberFormat="1" applyFont="1" applyBorder="1" applyAlignment="1">
      <alignment horizontal="center" vertical="center"/>
    </xf>
    <xf numFmtId="165" fontId="26" fillId="0" borderId="52" xfId="0" applyNumberFormat="1" applyFont="1" applyBorder="1" applyAlignment="1">
      <alignment horizontal="center" vertical="center" wrapText="1"/>
    </xf>
    <xf numFmtId="2" fontId="26" fillId="0" borderId="51" xfId="0" applyNumberFormat="1" applyFont="1" applyBorder="1" applyAlignment="1">
      <alignment horizontal="center" vertical="center" wrapText="1"/>
    </xf>
    <xf numFmtId="168" fontId="26" fillId="0" borderId="51" xfId="0" applyNumberFormat="1" applyFont="1" applyBorder="1" applyAlignment="1">
      <alignment horizontal="center" vertical="center" wrapText="1"/>
    </xf>
    <xf numFmtId="165" fontId="26" fillId="0" borderId="22" xfId="0" applyNumberFormat="1" applyFont="1" applyBorder="1" applyAlignment="1">
      <alignment horizontal="center" vertical="center"/>
    </xf>
    <xf numFmtId="168" fontId="26" fillId="0" borderId="18" xfId="0" applyNumberFormat="1" applyFont="1" applyBorder="1" applyAlignment="1">
      <alignment horizontal="center" vertical="center" wrapText="1"/>
    </xf>
    <xf numFmtId="2" fontId="26" fillId="0" borderId="18" xfId="0" applyNumberFormat="1" applyFont="1" applyBorder="1" applyAlignment="1">
      <alignment horizontal="center" vertical="center"/>
    </xf>
    <xf numFmtId="165" fontId="26" fillId="0" borderId="18" xfId="0" applyNumberFormat="1" applyFont="1" applyBorder="1" applyAlignment="1">
      <alignment horizontal="center" vertical="center"/>
    </xf>
    <xf numFmtId="4" fontId="26" fillId="0" borderId="18" xfId="0" applyNumberFormat="1" applyFont="1" applyBorder="1" applyAlignment="1">
      <alignment horizontal="center" vertical="center" wrapText="1"/>
    </xf>
    <xf numFmtId="4" fontId="26" fillId="0" borderId="22" xfId="0" applyNumberFormat="1" applyFont="1" applyBorder="1" applyAlignment="1">
      <alignment horizontal="center" vertical="center"/>
    </xf>
    <xf numFmtId="174" fontId="29" fillId="0" borderId="18" xfId="0" applyNumberFormat="1" applyFont="1" applyBorder="1" applyAlignment="1">
      <alignment horizontal="center" vertical="center"/>
    </xf>
    <xf numFmtId="165" fontId="29" fillId="0" borderId="18" xfId="0" applyNumberFormat="1" applyFont="1" applyBorder="1" applyAlignment="1">
      <alignment horizontal="center" vertical="center"/>
    </xf>
    <xf numFmtId="0" fontId="26" fillId="0" borderId="45" xfId="0" applyFont="1" applyBorder="1" applyAlignment="1">
      <alignment horizontal="center" vertical="center"/>
    </xf>
    <xf numFmtId="170" fontId="26" fillId="0" borderId="46" xfId="0" applyNumberFormat="1"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51" xfId="0" applyFont="1" applyBorder="1" applyAlignment="1">
      <alignment horizontal="center" vertical="center"/>
    </xf>
    <xf numFmtId="170" fontId="26" fillId="0" borderId="10" xfId="0" applyNumberFormat="1" applyFont="1" applyBorder="1" applyAlignment="1">
      <alignment horizontal="center" vertical="center"/>
    </xf>
    <xf numFmtId="11" fontId="26" fillId="0" borderId="46" xfId="0" applyNumberFormat="1" applyFont="1" applyBorder="1" applyAlignment="1">
      <alignment horizontal="center" vertical="center"/>
    </xf>
  </cellXfs>
  <cellStyles count="10">
    <cellStyle name="Comma" xfId="4" builtinId="3"/>
    <cellStyle name="Comma 2" xfId="6" xr:uid="{AA89B7D7-2D3C-4418-B5E1-4067754C798A}"/>
    <cellStyle name="Normal" xfId="0" builtinId="0"/>
    <cellStyle name="Normal 2 2" xfId="7" xr:uid="{FDDA2988-2B83-4D1A-862B-4C6482CAAA15}"/>
    <cellStyle name="Normal 3 2" xfId="5" xr:uid="{E1CDED76-A61D-4174-9A0E-5D2C80AA34DC}"/>
    <cellStyle name="Normal_Sheet1" xfId="8" xr:uid="{4A0F2616-549B-47B7-A4EE-5E33422FF180}"/>
    <cellStyle name="Normal_Sheet2" xfId="9" xr:uid="{37F09B9B-507F-48F9-B8C5-F133255812A3}"/>
    <cellStyle name="Normal_TotalTable3+" xfId="1" xr:uid="{AE96E253-F979-44AC-9E3F-56BF491932C1}"/>
    <cellStyle name="Normal_TotalTable3+_1" xfId="3" xr:uid="{3FA7AFC0-6333-4678-A306-B606EB4F3B96}"/>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color rgb="FFFF6699"/>
      <color rgb="FF9966FF"/>
      <color rgb="FF9933FF"/>
      <color rgb="FFF6ACEB"/>
      <color rgb="FFCCCC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Bladen Bluffs</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3999414933814381E-2"/>
                  <c:y val="0.1158947029114081"/>
                </c:manualLayout>
              </c:layout>
              <c:tx>
                <c:rich>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r>
                      <a:rPr lang="en-US" baseline="0">
                        <a:solidFill>
                          <a:schemeClr val="accent1"/>
                        </a:solidFill>
                      </a:rPr>
                      <a:t>y = 8,826x + 1.530</a:t>
                    </a:r>
                    <a:br>
                      <a:rPr lang="en-US" baseline="0">
                        <a:solidFill>
                          <a:schemeClr val="accent1"/>
                        </a:solidFill>
                      </a:rPr>
                    </a:br>
                    <a:r>
                      <a:rPr lang="en-US" baseline="0">
                        <a:solidFill>
                          <a:schemeClr val="accent1"/>
                        </a:solidFill>
                      </a:rPr>
                      <a:t>R² = 0.997</a:t>
                    </a:r>
                    <a:endParaRPr lang="en-US">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trendlineLbl>
          </c:trendline>
          <c:xVal>
            <c:numRef>
              <c:f>'Travel Times Model'!$C$3:$C$12</c:f>
              <c:numCache>
                <c:formatCode>0.00E+00</c:formatCode>
                <c:ptCount val="10"/>
                <c:pt idx="0">
                  <c:v>1.2578616352201257E-3</c:v>
                </c:pt>
                <c:pt idx="1">
                  <c:v>1.0810810810810811E-3</c:v>
                </c:pt>
                <c:pt idx="2">
                  <c:v>6.93000693000693E-4</c:v>
                </c:pt>
                <c:pt idx="3">
                  <c:v>4.1152263374485596E-4</c:v>
                </c:pt>
                <c:pt idx="4">
                  <c:v>3.0030030030030029E-4</c:v>
                </c:pt>
                <c:pt idx="5">
                  <c:v>1.2360939431396787E-4</c:v>
                </c:pt>
                <c:pt idx="6">
                  <c:v>9.7087378640776706E-5</c:v>
                </c:pt>
                <c:pt idx="7">
                  <c:v>8.1967213114754098E-5</c:v>
                </c:pt>
                <c:pt idx="8">
                  <c:v>7.1839080459770114E-5</c:v>
                </c:pt>
                <c:pt idx="9">
                  <c:v>3.9867639437068931E-5</c:v>
                </c:pt>
              </c:numCache>
            </c:numRef>
          </c:xVal>
          <c:yVal>
            <c:numRef>
              <c:f>'Travel Times Model'!$E$3:$E$12</c:f>
              <c:numCache>
                <c:formatCode>General</c:formatCode>
                <c:ptCount val="10"/>
                <c:pt idx="0">
                  <c:v>12.5</c:v>
                </c:pt>
                <c:pt idx="1">
                  <c:v>11</c:v>
                </c:pt>
                <c:pt idx="2">
                  <c:v>8</c:v>
                </c:pt>
                <c:pt idx="3">
                  <c:v>5</c:v>
                </c:pt>
                <c:pt idx="4">
                  <c:v>4.5</c:v>
                </c:pt>
                <c:pt idx="5">
                  <c:v>2.5</c:v>
                </c:pt>
                <c:pt idx="6">
                  <c:v>2.5</c:v>
                </c:pt>
                <c:pt idx="7">
                  <c:v>2</c:v>
                </c:pt>
                <c:pt idx="8">
                  <c:v>2</c:v>
                </c:pt>
                <c:pt idx="9">
                  <c:v>2</c:v>
                </c:pt>
              </c:numCache>
            </c:numRef>
          </c:yVal>
          <c:smooth val="0"/>
          <c:extLst>
            <c:ext xmlns:c16="http://schemas.microsoft.com/office/drawing/2014/chart" uri="{C3380CC4-5D6E-409C-BE32-E72D297353CC}">
              <c16:uniqueId val="{00000001-FAB9-44F6-9671-B287C5E6B583}"/>
            </c:ext>
          </c:extLst>
        </c:ser>
        <c:ser>
          <c:idx val="1"/>
          <c:order val="1"/>
          <c:tx>
            <c:v>Tar Heel</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3.4404772679277162E-2"/>
                  <c:y val="-9.9132551148883828E-3"/>
                </c:manualLayout>
              </c:layout>
              <c:tx>
                <c:rich>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r>
                      <a:rPr lang="en-US" baseline="0">
                        <a:solidFill>
                          <a:schemeClr val="accent2"/>
                        </a:solidFill>
                      </a:rPr>
                      <a:t>y = 13,422x + 2.019</a:t>
                    </a:r>
                    <a:br>
                      <a:rPr lang="en-US" baseline="0">
                        <a:solidFill>
                          <a:schemeClr val="accent2"/>
                        </a:solidFill>
                      </a:rPr>
                    </a:br>
                    <a:r>
                      <a:rPr lang="en-US" baseline="0">
                        <a:solidFill>
                          <a:schemeClr val="accent2"/>
                        </a:solidFill>
                      </a:rPr>
                      <a:t>R² = 0.997</a:t>
                    </a:r>
                    <a:endParaRPr lang="en-US">
                      <a:solidFill>
                        <a:schemeClr val="accent2"/>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trendlineLbl>
          </c:trendline>
          <c:xVal>
            <c:numRef>
              <c:f>'Travel Times Model'!$C$3:$C$12</c:f>
              <c:numCache>
                <c:formatCode>0.00E+00</c:formatCode>
                <c:ptCount val="10"/>
                <c:pt idx="0">
                  <c:v>1.2578616352201257E-3</c:v>
                </c:pt>
                <c:pt idx="1">
                  <c:v>1.0810810810810811E-3</c:v>
                </c:pt>
                <c:pt idx="2">
                  <c:v>6.93000693000693E-4</c:v>
                </c:pt>
                <c:pt idx="3">
                  <c:v>4.1152263374485596E-4</c:v>
                </c:pt>
                <c:pt idx="4">
                  <c:v>3.0030030030030029E-4</c:v>
                </c:pt>
                <c:pt idx="5">
                  <c:v>1.2360939431396787E-4</c:v>
                </c:pt>
                <c:pt idx="6">
                  <c:v>9.7087378640776706E-5</c:v>
                </c:pt>
                <c:pt idx="7">
                  <c:v>8.1967213114754098E-5</c:v>
                </c:pt>
                <c:pt idx="8">
                  <c:v>7.1839080459770114E-5</c:v>
                </c:pt>
                <c:pt idx="9">
                  <c:v>3.9867639437068931E-5</c:v>
                </c:pt>
              </c:numCache>
            </c:numRef>
          </c:xVal>
          <c:yVal>
            <c:numRef>
              <c:f>'Travel Times Model'!$F$3:$F$12</c:f>
              <c:numCache>
                <c:formatCode>General</c:formatCode>
                <c:ptCount val="10"/>
                <c:pt idx="0">
                  <c:v>18.5</c:v>
                </c:pt>
                <c:pt idx="1">
                  <c:v>16.5</c:v>
                </c:pt>
                <c:pt idx="2">
                  <c:v>12</c:v>
                </c:pt>
                <c:pt idx="3">
                  <c:v>7.5</c:v>
                </c:pt>
                <c:pt idx="4">
                  <c:v>6.5</c:v>
                </c:pt>
                <c:pt idx="5">
                  <c:v>3.5</c:v>
                </c:pt>
                <c:pt idx="6">
                  <c:v>3.5</c:v>
                </c:pt>
                <c:pt idx="7">
                  <c:v>3</c:v>
                </c:pt>
                <c:pt idx="8">
                  <c:v>2.5</c:v>
                </c:pt>
                <c:pt idx="9">
                  <c:v>2.5</c:v>
                </c:pt>
              </c:numCache>
            </c:numRef>
          </c:yVal>
          <c:smooth val="0"/>
          <c:extLst>
            <c:ext xmlns:c16="http://schemas.microsoft.com/office/drawing/2014/chart" uri="{C3380CC4-5D6E-409C-BE32-E72D297353CC}">
              <c16:uniqueId val="{00000003-FAB9-44F6-9671-B287C5E6B583}"/>
            </c:ext>
          </c:extLst>
        </c:ser>
        <c:dLbls>
          <c:showLegendKey val="0"/>
          <c:showVal val="0"/>
          <c:showCatName val="0"/>
          <c:showSerName val="0"/>
          <c:showPercent val="0"/>
          <c:showBubbleSize val="0"/>
        </c:dLbls>
        <c:axId val="73258880"/>
        <c:axId val="85385152"/>
      </c:scatterChart>
      <c:scatterChart>
        <c:scatterStyle val="lineMarker"/>
        <c:varyColors val="0"/>
        <c:ser>
          <c:idx val="2"/>
          <c:order val="2"/>
          <c:tx>
            <c:v>Kings Bluff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1"/>
            <c:dispEq val="1"/>
            <c:trendlineLbl>
              <c:layout>
                <c:manualLayout>
                  <c:x val="9.6936223489305209E-2"/>
                  <c:y val="9.3303765293667823E-2"/>
                </c:manualLayout>
              </c:layout>
              <c:tx>
                <c:rich>
                  <a:bodyPr rot="0" spcFirstLastPara="1" vertOverflow="ellipsis" vert="horz" wrap="square" anchor="ctr" anchorCtr="1"/>
                  <a:lstStyle/>
                  <a:p>
                    <a:pPr>
                      <a:defRPr sz="900" b="0" i="0" u="none" strike="noStrike" kern="1200" baseline="0">
                        <a:solidFill>
                          <a:schemeClr val="accent6"/>
                        </a:solidFill>
                        <a:latin typeface="+mn-lt"/>
                        <a:ea typeface="+mn-ea"/>
                        <a:cs typeface="+mn-cs"/>
                      </a:defRPr>
                    </a:pPr>
                    <a:r>
                      <a:rPr lang="en-US" baseline="0">
                        <a:solidFill>
                          <a:schemeClr val="accent6"/>
                        </a:solidFill>
                      </a:rPr>
                      <a:t>y = 148,123x + 22.708</a:t>
                    </a:r>
                    <a:br>
                      <a:rPr lang="en-US" baseline="0">
                        <a:solidFill>
                          <a:schemeClr val="accent6"/>
                        </a:solidFill>
                      </a:rPr>
                    </a:br>
                    <a:r>
                      <a:rPr lang="en-US" baseline="0">
                        <a:solidFill>
                          <a:schemeClr val="accent6"/>
                        </a:solidFill>
                      </a:rPr>
                      <a:t>R² = 0.943</a:t>
                    </a:r>
                    <a:endParaRPr lang="en-US">
                      <a:solidFill>
                        <a:schemeClr val="accent6"/>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6"/>
                      </a:solidFill>
                      <a:latin typeface="+mn-lt"/>
                      <a:ea typeface="+mn-ea"/>
                      <a:cs typeface="+mn-cs"/>
                    </a:defRPr>
                  </a:pPr>
                  <a:endParaRPr lang="en-US"/>
                </a:p>
              </c:txPr>
            </c:trendlineLbl>
          </c:trendline>
          <c:xVal>
            <c:numRef>
              <c:f>'Travel Times Model'!$C$3:$C$12</c:f>
              <c:numCache>
                <c:formatCode>0.00E+00</c:formatCode>
                <c:ptCount val="10"/>
                <c:pt idx="0">
                  <c:v>1.2578616352201257E-3</c:v>
                </c:pt>
                <c:pt idx="1">
                  <c:v>1.0810810810810811E-3</c:v>
                </c:pt>
                <c:pt idx="2">
                  <c:v>6.93000693000693E-4</c:v>
                </c:pt>
                <c:pt idx="3">
                  <c:v>4.1152263374485596E-4</c:v>
                </c:pt>
                <c:pt idx="4">
                  <c:v>3.0030030030030029E-4</c:v>
                </c:pt>
                <c:pt idx="5">
                  <c:v>1.2360939431396787E-4</c:v>
                </c:pt>
                <c:pt idx="6">
                  <c:v>9.7087378640776706E-5</c:v>
                </c:pt>
                <c:pt idx="7">
                  <c:v>8.1967213114754098E-5</c:v>
                </c:pt>
                <c:pt idx="8">
                  <c:v>7.1839080459770114E-5</c:v>
                </c:pt>
                <c:pt idx="9">
                  <c:v>3.9867639437068931E-5</c:v>
                </c:pt>
              </c:numCache>
            </c:numRef>
          </c:xVal>
          <c:yVal>
            <c:numRef>
              <c:f>'Travel Times Model'!$G$3:$G$12</c:f>
              <c:numCache>
                <c:formatCode>General</c:formatCode>
                <c:ptCount val="10"/>
                <c:pt idx="0">
                  <c:v>196</c:v>
                </c:pt>
                <c:pt idx="1">
                  <c:v>170</c:v>
                </c:pt>
                <c:pt idx="2">
                  <c:v>153</c:v>
                </c:pt>
                <c:pt idx="3">
                  <c:v>115.5</c:v>
                </c:pt>
                <c:pt idx="4">
                  <c:v>69.5</c:v>
                </c:pt>
                <c:pt idx="5">
                  <c:v>36.5</c:v>
                </c:pt>
                <c:pt idx="6">
                  <c:v>31</c:v>
                </c:pt>
                <c:pt idx="7">
                  <c:v>28</c:v>
                </c:pt>
                <c:pt idx="8">
                  <c:v>26</c:v>
                </c:pt>
                <c:pt idx="9">
                  <c:v>17.5</c:v>
                </c:pt>
              </c:numCache>
            </c:numRef>
          </c:yVal>
          <c:smooth val="0"/>
          <c:extLst>
            <c:ext xmlns:c16="http://schemas.microsoft.com/office/drawing/2014/chart" uri="{C3380CC4-5D6E-409C-BE32-E72D297353CC}">
              <c16:uniqueId val="{00000005-FAB9-44F6-9671-B287C5E6B583}"/>
            </c:ext>
          </c:extLst>
        </c:ser>
        <c:dLbls>
          <c:showLegendKey val="0"/>
          <c:showVal val="0"/>
          <c:showCatName val="0"/>
          <c:showSerName val="0"/>
          <c:showPercent val="0"/>
          <c:showBubbleSize val="0"/>
        </c:dLbls>
        <c:axId val="134830656"/>
        <c:axId val="134830240"/>
      </c:scatterChart>
      <c:valAx>
        <c:axId val="732588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Inverse Average Flow During Release (cfs)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85152"/>
        <c:crosses val="autoZero"/>
        <c:crossBetween val="midCat"/>
      </c:valAx>
      <c:valAx>
        <c:axId val="8538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Travel Time to Bladen Bluffs and Tar Heel (hours)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58880"/>
        <c:crosses val="autoZero"/>
        <c:crossBetween val="midCat"/>
      </c:valAx>
      <c:valAx>
        <c:axId val="13483024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Travel Time to Kings Bluffs (hours)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830656"/>
        <c:crosses val="max"/>
        <c:crossBetween val="midCat"/>
      </c:valAx>
      <c:valAx>
        <c:axId val="134830656"/>
        <c:scaling>
          <c:orientation val="minMax"/>
        </c:scaling>
        <c:delete val="1"/>
        <c:axPos val="b"/>
        <c:numFmt formatCode="0.00E+00" sourceLinked="1"/>
        <c:majorTickMark val="out"/>
        <c:minorTickMark val="none"/>
        <c:tickLblPos val="nextTo"/>
        <c:crossAx val="134830240"/>
        <c:crosses val="autoZero"/>
        <c:crossBetween val="midCat"/>
      </c:valAx>
      <c:spPr>
        <a:noFill/>
        <a:ln>
          <a:noFill/>
        </a:ln>
        <a:effectLst/>
      </c:spPr>
    </c:plotArea>
    <c:legend>
      <c:legendPos val="b"/>
      <c:layout>
        <c:manualLayout>
          <c:xMode val="edge"/>
          <c:yMode val="edge"/>
          <c:x val="3.7305282660100927E-2"/>
          <c:y val="0.89296892058299993"/>
          <c:w val="0.8861737484052884"/>
          <c:h val="9.0241994173173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12264571" cy="1676439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910A5424-3F77-4E49-83FD-344AA1F5EFCB}"/>
                </a:ext>
              </a:extLst>
            </xdr:cNvPr>
            <xdr:cNvSpPr txBox="1"/>
          </xdr:nvSpPr>
          <xdr:spPr>
            <a:xfrm>
              <a:off x="0" y="8001000"/>
              <a:ext cx="12264571" cy="167643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solidFill>
                    <a:schemeClr val="tx1"/>
                  </a:solidFill>
                  <a:effectLst/>
                  <a:latin typeface="+mn-lt"/>
                  <a:ea typeface="+mn-ea"/>
                  <a:cs typeface="+mn-cs"/>
                </a:rPr>
                <a:t>MASS LOAD CALCULATION</a:t>
              </a:r>
              <a:endParaRPr lang="en-US" sz="1100">
                <a:solidFill>
                  <a:sysClr val="windowText" lastClr="000000"/>
                </a:solidFill>
                <a:effectLst/>
                <a:latin typeface="+mn-lt"/>
                <a:ea typeface="+mn-ea"/>
                <a:cs typeface="+mn-cs"/>
              </a:endParaRPr>
            </a:p>
            <a:p>
              <a:r>
                <a:rPr lang="en-US" sz="1100">
                  <a:solidFill>
                    <a:schemeClr val="tx1"/>
                  </a:solidFill>
                  <a:effectLst/>
                  <a:latin typeface="+mn-lt"/>
                  <a:ea typeface="+mn-ea"/>
                  <a:cs typeface="+mn-cs"/>
                </a:rPr>
                <a:t>The Mass Loading Model estimates the mass discharge of Table 3+ PFAS from nine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potential PFAS transport pathways to the Cape Fear River:</a:t>
              </a:r>
            </a:p>
            <a:p>
              <a:endParaRPr lang="en-US" sz="1100">
                <a:solidFill>
                  <a:schemeClr val="tx1"/>
                </a:solidFill>
                <a:effectLst/>
                <a:latin typeface="+mn-lt"/>
                <a:ea typeface="+mn-ea"/>
                <a:cs typeface="+mn-cs"/>
              </a:endParaRPr>
            </a:p>
            <a:p>
              <a:pPr lvl="0"/>
              <a:r>
                <a:rPr lang="en-US" sz="1100" b="1">
                  <a:solidFill>
                    <a:schemeClr val="tx1"/>
                  </a:solidFill>
                  <a:effectLst/>
                  <a:latin typeface="+mn-lt"/>
                  <a:ea typeface="+mn-ea"/>
                  <a:cs typeface="+mn-cs"/>
                </a:rPr>
                <a:t>Transport Pathway 1</a:t>
              </a:r>
              <a:r>
                <a:rPr lang="en-US" sz="1100">
                  <a:solidFill>
                    <a:schemeClr val="tx1"/>
                  </a:solidFill>
                  <a:effectLst/>
                  <a:latin typeface="+mn-lt"/>
                  <a:ea typeface="+mn-ea"/>
                  <a:cs typeface="+mn-cs"/>
                </a:rPr>
                <a:t>: Upstream Cape Fear River and Groundwater – This pathway is comprised of contributions from non-Chemours related PFAS sources on the Cape Fear River and tributaries upstream of the Site, and upstream offsite groundwater with Table 3+ PFAS present from aerial deposition;</a:t>
              </a:r>
            </a:p>
            <a:p>
              <a:pPr lvl="0"/>
              <a:r>
                <a:rPr lang="en-US" sz="1100" b="1">
                  <a:solidFill>
                    <a:schemeClr val="tx1"/>
                  </a:solidFill>
                  <a:effectLst/>
                  <a:latin typeface="+mn-lt"/>
                  <a:ea typeface="+mn-ea"/>
                  <a:cs typeface="+mn-cs"/>
                </a:rPr>
                <a:t>Transport Pathway 2</a:t>
              </a:r>
              <a:r>
                <a:rPr lang="en-US" sz="1100">
                  <a:solidFill>
                    <a:schemeClr val="tx1"/>
                  </a:solidFill>
                  <a:effectLst/>
                  <a:latin typeface="+mn-lt"/>
                  <a:ea typeface="+mn-ea"/>
                  <a:cs typeface="+mn-cs"/>
                </a:rPr>
                <a:t>: Willis Creek – Groundwater and stormwater discharge and aerial deposition to Willis Creek and then to the Cape Fear River;</a:t>
              </a:r>
            </a:p>
            <a:p>
              <a:pPr lvl="0"/>
              <a:r>
                <a:rPr lang="en-US" sz="1100" b="1">
                  <a:solidFill>
                    <a:schemeClr val="tx1"/>
                  </a:solidFill>
                  <a:effectLst/>
                  <a:latin typeface="+mn-lt"/>
                  <a:ea typeface="+mn-ea"/>
                  <a:cs typeface="+mn-cs"/>
                </a:rPr>
                <a:t>Transport Pathway 3</a:t>
              </a:r>
              <a:r>
                <a:rPr lang="en-US" sz="1100">
                  <a:solidFill>
                    <a:schemeClr val="tx1"/>
                  </a:solidFill>
                  <a:effectLst/>
                  <a:latin typeface="+mn-lt"/>
                  <a:ea typeface="+mn-ea"/>
                  <a:cs typeface="+mn-cs"/>
                </a:rPr>
                <a:t>: Direct aerial deposition of Table 3+ PFAS on the Cape Fear River;</a:t>
              </a:r>
            </a:p>
            <a:p>
              <a:pPr lvl="0"/>
              <a:r>
                <a:rPr lang="en-US" sz="1100" b="1">
                  <a:solidFill>
                    <a:schemeClr val="tx1"/>
                  </a:solidFill>
                  <a:effectLst/>
                  <a:latin typeface="+mn-lt"/>
                  <a:ea typeface="+mn-ea"/>
                  <a:cs typeface="+mn-cs"/>
                </a:rPr>
                <a:t>Transport Pathway 4</a:t>
              </a:r>
              <a:r>
                <a:rPr lang="en-US" sz="1100">
                  <a:solidFill>
                    <a:schemeClr val="tx1"/>
                  </a:solidFill>
                  <a:effectLst/>
                  <a:latin typeface="+mn-lt"/>
                  <a:ea typeface="+mn-ea"/>
                  <a:cs typeface="+mn-cs"/>
                </a:rPr>
                <a:t>: Outfall 002 – Comprised of  (i) water drawn from the Cape Fear River and used as non-contact cooling water, (ii) treated non-Chemours process water and (iii) Site stormwater, which are then discharged through Outfall 002;</a:t>
              </a:r>
            </a:p>
            <a:p>
              <a:pPr lvl="0"/>
              <a:r>
                <a:rPr lang="en-US" sz="1100" b="1">
                  <a:solidFill>
                    <a:schemeClr val="tx1"/>
                  </a:solidFill>
                  <a:effectLst/>
                  <a:latin typeface="+mn-lt"/>
                  <a:ea typeface="+mn-ea"/>
                  <a:cs typeface="+mn-cs"/>
                </a:rPr>
                <a:t>Transport Pathway 5</a:t>
              </a:r>
              <a:r>
                <a:rPr lang="en-US" sz="1100">
                  <a:solidFill>
                    <a:schemeClr val="tx1"/>
                  </a:solidFill>
                  <a:effectLst/>
                  <a:latin typeface="+mn-lt"/>
                  <a:ea typeface="+mn-ea"/>
                  <a:cs typeface="+mn-cs"/>
                </a:rPr>
                <a:t>: Onsite Groundwater – Direct upwelling of onsite groundwater to the Cape Fear River from the Black Creek Aquifer;</a:t>
              </a:r>
            </a:p>
            <a:p>
              <a:pPr lvl="0"/>
              <a:r>
                <a:rPr lang="en-US" sz="1100" b="1">
                  <a:solidFill>
                    <a:schemeClr val="tx1"/>
                  </a:solidFill>
                  <a:effectLst/>
                  <a:latin typeface="+mn-lt"/>
                  <a:ea typeface="+mn-ea"/>
                  <a:cs typeface="+mn-cs"/>
                </a:rPr>
                <a:t>Transport Pathway 6</a:t>
              </a:r>
              <a:r>
                <a:rPr lang="en-US" sz="1100">
                  <a:solidFill>
                    <a:schemeClr val="tx1"/>
                  </a:solidFill>
                  <a:effectLst/>
                  <a:latin typeface="+mn-lt"/>
                  <a:ea typeface="+mn-ea"/>
                  <a:cs typeface="+mn-cs"/>
                </a:rPr>
                <a:t>: Seeps – Onsite groundwater seeps A, B, C and D above the Cape Fear River water level on the bluff face from the facility that discharge into the Cape Fear River;</a:t>
              </a:r>
            </a:p>
            <a:p>
              <a:pPr lvl="0"/>
              <a:r>
                <a:rPr lang="en-US" sz="1100" b="1">
                  <a:solidFill>
                    <a:schemeClr val="tx1"/>
                  </a:solidFill>
                  <a:effectLst/>
                  <a:latin typeface="+mn-lt"/>
                  <a:ea typeface="+mn-ea"/>
                  <a:cs typeface="+mn-cs"/>
                </a:rPr>
                <a:t>Transport Pathway 7</a:t>
              </a:r>
              <a:r>
                <a:rPr lang="en-US" sz="1100">
                  <a:solidFill>
                    <a:schemeClr val="tx1"/>
                  </a:solidFill>
                  <a:effectLst/>
                  <a:latin typeface="+mn-lt"/>
                  <a:ea typeface="+mn-ea"/>
                  <a:cs typeface="+mn-cs"/>
                </a:rPr>
                <a:t>: Old Outfall 002 – Groundwater discharge to Old Outfall 002 and stormwater runoff that flows into the Cape Fear River;</a:t>
              </a:r>
            </a:p>
            <a:p>
              <a:pPr lvl="0"/>
              <a:r>
                <a:rPr lang="en-US" sz="1100" b="1">
                  <a:solidFill>
                    <a:schemeClr val="tx1"/>
                  </a:solidFill>
                  <a:effectLst/>
                  <a:latin typeface="+mn-lt"/>
                  <a:ea typeface="+mn-ea"/>
                  <a:cs typeface="+mn-cs"/>
                </a:rPr>
                <a:t>Transport Pathway 8</a:t>
              </a:r>
              <a:r>
                <a:rPr lang="en-US" sz="1100">
                  <a:solidFill>
                    <a:schemeClr val="tx1"/>
                  </a:solidFill>
                  <a:effectLst/>
                  <a:latin typeface="+mn-lt"/>
                  <a:ea typeface="+mn-ea"/>
                  <a:cs typeface="+mn-cs"/>
                </a:rPr>
                <a:t>: Adjacent and Downstream Offsite Groundwater – Offsite groundwater adjacent and downstream of the Site upwelling to the Cape Fear River; and,</a:t>
              </a:r>
            </a:p>
            <a:p>
              <a:pPr lvl="0"/>
              <a:r>
                <a:rPr lang="en-US" sz="1100" b="1">
                  <a:solidFill>
                    <a:schemeClr val="tx1"/>
                  </a:solidFill>
                  <a:effectLst/>
                  <a:latin typeface="+mn-lt"/>
                  <a:ea typeface="+mn-ea"/>
                  <a:cs typeface="+mn-cs"/>
                </a:rPr>
                <a:t>Transport Pathway 9</a:t>
              </a:r>
              <a:r>
                <a:rPr lang="en-US" sz="1100">
                  <a:solidFill>
                    <a:schemeClr val="tx1"/>
                  </a:solidFill>
                  <a:effectLst/>
                  <a:latin typeface="+mn-lt"/>
                  <a:ea typeface="+mn-ea"/>
                  <a:cs typeface="+mn-cs"/>
                </a:rPr>
                <a:t>: Georgia Branch Creek – Groundwater, stormwater discharge and aerial deposition to Georgia Branch Creek and then to the Cape Fear River.</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Total Table 3+ PFAS mass discharge entering the Cape Fear River is defined in this model as the combined mass per unit time or mass discharge (e.g., mg/s) from the nine potential pathways.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Total Table 3+ PFAS mass load entering the Cape Fear River is calculated </a:t>
              </a:r>
              <a:r>
                <a:rPr lang="en-US" sz="1100" baseline="0">
                  <a:solidFill>
                    <a:sysClr val="windowText" lastClr="000000"/>
                  </a:solidFill>
                  <a:effectLst/>
                  <a:latin typeface="+mn-lt"/>
                  <a:ea typeface="+mn-ea"/>
                  <a:cs typeface="+mn-cs"/>
                </a:rPr>
                <a:t>following Equation 1 below:</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r>
                <a:rPr lang="en-US" sz="1100" b="1" i="1" baseline="0">
                  <a:solidFill>
                    <a:sysClr val="windowText" lastClr="000000"/>
                  </a:solidFill>
                  <a:effectLst/>
                  <a:latin typeface="+mn-lt"/>
                  <a:ea typeface="+mn-ea"/>
                  <a:cs typeface="+mn-cs"/>
                </a:rPr>
                <a:t>Equation 1: Mass load entering the Cape Fear River</a:t>
              </a:r>
              <a:endParaRPr lang="en-US" sz="1100" b="1" i="1">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𝑀𝐷</m:t>
                        </m:r>
                      </m:e>
                      <m:sub>
                        <m:r>
                          <a:rPr lang="en-US" sz="1100" b="0" i="1">
                            <a:solidFill>
                              <a:schemeClr val="tx1"/>
                            </a:solidFill>
                            <a:effectLst/>
                            <a:latin typeface="Cambria Math" panose="02040503050406030204" pitchFamily="18" charset="0"/>
                            <a:ea typeface="+mn-ea"/>
                            <a:cs typeface="+mn-cs"/>
                          </a:rPr>
                          <m:t>𝐶𝐹𝑅</m:t>
                        </m:r>
                      </m:sub>
                    </m:sSub>
                    <m:r>
                      <a:rPr lang="en-US" sz="1100" i="1">
                        <a:solidFill>
                          <a:schemeClr val="tx1"/>
                        </a:solidFill>
                        <a:effectLst/>
                        <a:latin typeface="Cambria Math" panose="02040503050406030204" pitchFamily="18" charset="0"/>
                        <a:ea typeface="+mn-ea"/>
                        <a:cs typeface="+mn-cs"/>
                      </a:rPr>
                      <m:t>= </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=9</m:t>
                        </m:r>
                      </m:sup>
                      <m:e>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𝐼</m:t>
                            </m:r>
                          </m:sup>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𝐷</m:t>
                                </m:r>
                              </m:e>
                              <m:sub>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𝑖</m:t>
                                </m:r>
                              </m:sub>
                            </m:sSub>
                            <m:r>
                              <a:rPr lang="en-US" sz="1100" i="1">
                                <a:solidFill>
                                  <a:schemeClr val="tx1"/>
                                </a:solidFill>
                                <a:effectLst/>
                                <a:latin typeface="Cambria Math" panose="02040503050406030204" pitchFamily="18" charset="0"/>
                                <a:ea typeface="+mn-ea"/>
                                <a:cs typeface="+mn-cs"/>
                              </a:rPr>
                              <m:t>=</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=9</m:t>
                                </m:r>
                              </m:sup>
                              <m:e>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𝐼</m:t>
                                    </m:r>
                                  </m:sup>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𝐶</m:t>
                                        </m:r>
                                      </m:e>
                                      <m:sub>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𝑖</m:t>
                                        </m:r>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𝑄</m:t>
                                        </m:r>
                                      </m:e>
                                      <m:sub>
                                        <m:r>
                                          <a:rPr lang="en-US" sz="1100" i="1">
                                            <a:solidFill>
                                              <a:schemeClr val="tx1"/>
                                            </a:solidFill>
                                            <a:effectLst/>
                                            <a:latin typeface="Cambria Math" panose="02040503050406030204" pitchFamily="18" charset="0"/>
                                            <a:ea typeface="+mn-ea"/>
                                            <a:cs typeface="+mn-cs"/>
                                          </a:rPr>
                                          <m:t>𝑛</m:t>
                                        </m:r>
                                      </m:sub>
                                    </m:sSub>
                                    <m:r>
                                      <a:rPr lang="en-US" sz="1100" i="1">
                                        <a:solidFill>
                                          <a:schemeClr val="tx1"/>
                                        </a:solidFill>
                                        <a:effectLst/>
                                        <a:latin typeface="Cambria Math" panose="02040503050406030204" pitchFamily="18" charset="0"/>
                                        <a:ea typeface="+mn-ea"/>
                                        <a:cs typeface="+mn-cs"/>
                                      </a:rPr>
                                      <m:t> </m:t>
                                    </m:r>
                                  </m:e>
                                </m:nary>
                                <m:r>
                                  <a:rPr lang="en-US" sz="1100" i="1">
                                    <a:solidFill>
                                      <a:schemeClr val="tx1"/>
                                    </a:solidFill>
                                    <a:effectLst/>
                                    <a:latin typeface="Cambria Math" panose="02040503050406030204" pitchFamily="18" charset="0"/>
                                    <a:ea typeface="+mn-ea"/>
                                    <a:cs typeface="+mn-cs"/>
                                  </a:rPr>
                                  <m:t>  </m:t>
                                </m:r>
                              </m:e>
                            </m:nary>
                          </m:e>
                        </m:nary>
                      </m:e>
                    </m:nary>
                  </m:oMath>
                </m:oMathPara>
              </a14:m>
              <a:endParaRPr lang="en-US" sz="1100">
                <a:solidFill>
                  <a:schemeClr val="tx1"/>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Where</a:t>
              </a:r>
            </a:p>
            <a:p>
              <a:r>
                <a:rPr lang="en-US" sz="1100" i="1">
                  <a:solidFill>
                    <a:schemeClr val="tx1"/>
                  </a:solidFill>
                  <a:effectLst/>
                  <a:latin typeface="+mn-lt"/>
                  <a:ea typeface="+mn-ea"/>
                  <a:cs typeface="+mn-cs"/>
                </a:rPr>
                <a:t>MD</a:t>
              </a:r>
              <a:r>
                <a:rPr lang="en-US" sz="1100" i="1" baseline="-25000">
                  <a:solidFill>
                    <a:schemeClr val="tx1"/>
                  </a:solidFill>
                  <a:effectLst/>
                  <a:latin typeface="+mn-lt"/>
                  <a:ea typeface="+mn-ea"/>
                  <a:cs typeface="+mn-cs"/>
                </a:rPr>
                <a:t>CFR</a:t>
              </a:r>
              <a:r>
                <a:rPr lang="en-US" sz="1100">
                  <a:solidFill>
                    <a:schemeClr val="tx1"/>
                  </a:solidFill>
                  <a:effectLst/>
                  <a:latin typeface="+mn-lt"/>
                  <a:ea typeface="+mn-ea"/>
                  <a:cs typeface="+mn-cs"/>
                </a:rPr>
                <a:t> = total PFAS mass discharge entering the Cape Fear River measured in mass per unit time [MT</a:t>
              </a:r>
              <a:r>
                <a:rPr lang="en-US" sz="1100" baseline="30000">
                  <a:solidFill>
                    <a:schemeClr val="tx1"/>
                  </a:solidFill>
                  <a:effectLst/>
                  <a:latin typeface="+mn-lt"/>
                  <a:ea typeface="+mn-ea"/>
                  <a:cs typeface="+mn-cs"/>
                </a:rPr>
                <a:t>-1</a:t>
              </a:r>
              <a:r>
                <a:rPr lang="en-US" sz="1100">
                  <a:solidFill>
                    <a:schemeClr val="tx1"/>
                  </a:solidFill>
                  <a:effectLst/>
                  <a:latin typeface="+mn-lt"/>
                  <a:ea typeface="+mn-ea"/>
                  <a:cs typeface="+mn-cs"/>
                </a:rPr>
                <a:t>], typically milligrams per second.</a:t>
              </a:r>
            </a:p>
            <a:p>
              <a:r>
                <a:rPr lang="en-US" sz="1100">
                  <a:solidFill>
                    <a:schemeClr val="tx1"/>
                  </a:solidFill>
                  <a:effectLst/>
                  <a:latin typeface="+mn-lt"/>
                  <a:ea typeface="+mn-ea"/>
                  <a:cs typeface="+mn-cs"/>
                </a:rPr>
                <a:t>n = represents each of the 9 potential PFAS transport pathways listed in Table 14. To facilitate model construction, the Seeps (Transport Pathway 6) were further discretized as Seep A (Transport Pathway 6A), Seep B (Transport Pathway 6B), Seep C (Transport Pathway 6C) and Seep D (Transport Pathway 6D).</a:t>
              </a:r>
            </a:p>
            <a:p>
              <a:r>
                <a:rPr lang="en-US" sz="1100">
                  <a:solidFill>
                    <a:schemeClr val="tx1"/>
                  </a:solidFill>
                  <a:effectLst/>
                  <a:latin typeface="+mn-lt"/>
                  <a:ea typeface="+mn-ea"/>
                  <a:cs typeface="+mn-cs"/>
                </a:rPr>
                <a:t>i = represents each of the Table 3+ SOP PFAS constituents listed in Table 1.</a:t>
              </a:r>
            </a:p>
            <a:p>
              <a:r>
                <a:rPr lang="en-US" sz="1100">
                  <a:solidFill>
                    <a:schemeClr val="tx1"/>
                  </a:solidFill>
                  <a:effectLst/>
                  <a:latin typeface="+mn-lt"/>
                  <a:ea typeface="+mn-ea"/>
                  <a:cs typeface="+mn-cs"/>
                </a:rPr>
                <a:t>I = represents total number of Table 3+ SOP PFAS constituents included in the summation of Total Table 3+ concentrations, e.g., 17 or 20.</a:t>
              </a:r>
            </a:p>
            <a:p>
              <a:r>
                <a:rPr lang="en-US" sz="1100" i="1">
                  <a:solidFill>
                    <a:schemeClr val="tx1"/>
                  </a:solidFill>
                  <a:effectLst/>
                  <a:latin typeface="+mn-lt"/>
                  <a:ea typeface="+mn-ea"/>
                  <a:cs typeface="+mn-cs"/>
                </a:rPr>
                <a:t>MD</a:t>
              </a:r>
              <a:r>
                <a:rPr lang="en-US" sz="1100" i="1" baseline="-25000">
                  <a:solidFill>
                    <a:schemeClr val="tx1"/>
                  </a:solidFill>
                  <a:effectLst/>
                  <a:latin typeface="+mn-lt"/>
                  <a:ea typeface="+mn-ea"/>
                  <a:cs typeface="+mn-cs"/>
                </a:rPr>
                <a:t>n,i</a:t>
              </a:r>
              <a:r>
                <a:rPr lang="en-US" sz="1100">
                  <a:solidFill>
                    <a:schemeClr val="tx1"/>
                  </a:solidFill>
                  <a:effectLst/>
                  <a:latin typeface="+mn-lt"/>
                  <a:ea typeface="+mn-ea"/>
                  <a:cs typeface="+mn-cs"/>
                </a:rPr>
                <a:t> = mass load of each PFAS constituent </a:t>
              </a:r>
              <a:r>
                <a:rPr lang="en-US" sz="1100" i="1">
                  <a:solidFill>
                    <a:schemeClr val="tx1"/>
                  </a:solidFill>
                  <a:effectLst/>
                  <a:latin typeface="+mn-lt"/>
                  <a:ea typeface="+mn-ea"/>
                  <a:cs typeface="+mn-cs"/>
                </a:rPr>
                <a:t>i</a:t>
              </a:r>
              <a:r>
                <a:rPr lang="en-US" sz="1100">
                  <a:solidFill>
                    <a:schemeClr val="tx1"/>
                  </a:solidFill>
                  <a:effectLst/>
                  <a:latin typeface="+mn-lt"/>
                  <a:ea typeface="+mn-ea"/>
                  <a:cs typeface="+mn-cs"/>
                </a:rPr>
                <a:t> from each potential pathway </a:t>
              </a:r>
              <a:r>
                <a:rPr lang="en-US" sz="1100" i="1">
                  <a:solidFill>
                    <a:schemeClr val="tx1"/>
                  </a:solidFill>
                  <a:effectLst/>
                  <a:latin typeface="+mn-lt"/>
                  <a:ea typeface="+mn-ea"/>
                  <a:cs typeface="+mn-cs"/>
                </a:rPr>
                <a:t>n</a:t>
              </a:r>
              <a:r>
                <a:rPr lang="en-US" sz="1100">
                  <a:solidFill>
                    <a:schemeClr val="tx1"/>
                  </a:solidFill>
                  <a:effectLst/>
                  <a:latin typeface="+mn-lt"/>
                  <a:ea typeface="+mn-ea"/>
                  <a:cs typeface="+mn-cs"/>
                </a:rPr>
                <a:t> with measured units in mass per unit time [MT</a:t>
              </a:r>
              <a:r>
                <a:rPr lang="en-US" sz="1100" baseline="30000">
                  <a:solidFill>
                    <a:schemeClr val="tx1"/>
                  </a:solidFill>
                  <a:effectLst/>
                  <a:latin typeface="+mn-lt"/>
                  <a:ea typeface="+mn-ea"/>
                  <a:cs typeface="+mn-cs"/>
                </a:rPr>
                <a:t>-1</a:t>
              </a:r>
              <a:r>
                <a:rPr lang="en-US" sz="1100">
                  <a:solidFill>
                    <a:schemeClr val="tx1"/>
                  </a:solidFill>
                  <a:effectLst/>
                  <a:latin typeface="+mn-lt"/>
                  <a:ea typeface="+mn-ea"/>
                  <a:cs typeface="+mn-cs"/>
                </a:rPr>
                <a:t>], typically nanograms per second.</a:t>
              </a:r>
            </a:p>
            <a:p>
              <a:r>
                <a:rPr lang="en-US" sz="1100" i="1">
                  <a:solidFill>
                    <a:schemeClr val="tx1"/>
                  </a:solidFill>
                  <a:effectLst/>
                  <a:latin typeface="+mn-lt"/>
                  <a:ea typeface="+mn-ea"/>
                  <a:cs typeface="+mn-cs"/>
                </a:rPr>
                <a:t>C</a:t>
              </a:r>
              <a:r>
                <a:rPr lang="en-US" sz="1100" i="1" baseline="-25000">
                  <a:solidFill>
                    <a:schemeClr val="tx1"/>
                  </a:solidFill>
                  <a:effectLst/>
                  <a:latin typeface="+mn-lt"/>
                  <a:ea typeface="+mn-ea"/>
                  <a:cs typeface="+mn-cs"/>
                </a:rPr>
                <a:t>n,i</a:t>
              </a:r>
              <a:r>
                <a:rPr lang="en-US" sz="1100">
                  <a:solidFill>
                    <a:schemeClr val="tx1"/>
                  </a:solidFill>
                  <a:effectLst/>
                  <a:latin typeface="+mn-lt"/>
                  <a:ea typeface="+mn-ea"/>
                  <a:cs typeface="+mn-cs"/>
                </a:rPr>
                <a:t> = concentration of each PFAS constituent </a:t>
              </a:r>
              <a:r>
                <a:rPr lang="en-US" sz="1100" i="1">
                  <a:solidFill>
                    <a:schemeClr val="tx1"/>
                  </a:solidFill>
                  <a:effectLst/>
                  <a:latin typeface="+mn-lt"/>
                  <a:ea typeface="+mn-ea"/>
                  <a:cs typeface="+mn-cs"/>
                </a:rPr>
                <a:t>i</a:t>
              </a:r>
              <a:r>
                <a:rPr lang="en-US" sz="1100">
                  <a:solidFill>
                    <a:schemeClr val="tx1"/>
                  </a:solidFill>
                  <a:effectLst/>
                  <a:latin typeface="+mn-lt"/>
                  <a:ea typeface="+mn-ea"/>
                  <a:cs typeface="+mn-cs"/>
                </a:rPr>
                <a:t> from each potential pathway </a:t>
              </a:r>
              <a:r>
                <a:rPr lang="en-US" sz="1100" i="1">
                  <a:solidFill>
                    <a:schemeClr val="tx1"/>
                  </a:solidFill>
                  <a:effectLst/>
                  <a:latin typeface="+mn-lt"/>
                  <a:ea typeface="+mn-ea"/>
                  <a:cs typeface="+mn-cs"/>
                </a:rPr>
                <a:t>n</a:t>
              </a:r>
              <a:r>
                <a:rPr lang="en-US" sz="1100">
                  <a:solidFill>
                    <a:schemeClr val="tx1"/>
                  </a:solidFill>
                  <a:effectLst/>
                  <a:latin typeface="+mn-lt"/>
                  <a:ea typeface="+mn-ea"/>
                  <a:cs typeface="+mn-cs"/>
                </a:rPr>
                <a:t> with measured units in mass per unit volume [ML</a:t>
              </a:r>
              <a:r>
                <a:rPr lang="en-US" sz="1100" baseline="30000">
                  <a:solidFill>
                    <a:schemeClr val="tx1"/>
                  </a:solidFill>
                  <a:effectLst/>
                  <a:latin typeface="+mn-lt"/>
                  <a:ea typeface="+mn-ea"/>
                  <a:cs typeface="+mn-cs"/>
                </a:rPr>
                <a:t>-3</a:t>
              </a:r>
              <a:r>
                <a:rPr lang="en-US" sz="1100">
                  <a:solidFill>
                    <a:schemeClr val="tx1"/>
                  </a:solidFill>
                  <a:effectLst/>
                  <a:latin typeface="+mn-lt"/>
                  <a:ea typeface="+mn-ea"/>
                  <a:cs typeface="+mn-cs"/>
                </a:rPr>
                <a:t>], typically nanograms per liter. </a:t>
              </a:r>
            </a:p>
            <a:p>
              <a:r>
                <a:rPr lang="en-US" sz="1100" i="1">
                  <a:solidFill>
                    <a:schemeClr val="tx1"/>
                  </a:solidFill>
                  <a:effectLst/>
                  <a:latin typeface="+mn-lt"/>
                  <a:ea typeface="+mn-ea"/>
                  <a:cs typeface="+mn-cs"/>
                </a:rPr>
                <a:t>Q</a:t>
              </a:r>
              <a:r>
                <a:rPr lang="en-US" sz="1100" i="1" baseline="-25000">
                  <a:solidFill>
                    <a:schemeClr val="tx1"/>
                  </a:solidFill>
                  <a:effectLst/>
                  <a:latin typeface="+mn-lt"/>
                  <a:ea typeface="+mn-ea"/>
                  <a:cs typeface="+mn-cs"/>
                </a:rPr>
                <a:t>n</a:t>
              </a:r>
              <a:r>
                <a:rPr lang="en-US" sz="1100">
                  <a:solidFill>
                    <a:schemeClr val="tx1"/>
                  </a:solidFill>
                  <a:effectLst/>
                  <a:latin typeface="+mn-lt"/>
                  <a:ea typeface="+mn-ea"/>
                  <a:cs typeface="+mn-cs"/>
                </a:rPr>
                <a:t> = volumetric flow rate from each potential pathway </a:t>
              </a:r>
              <a:r>
                <a:rPr lang="en-US" sz="1100" i="1">
                  <a:solidFill>
                    <a:schemeClr val="tx1"/>
                  </a:solidFill>
                  <a:effectLst/>
                  <a:latin typeface="+mn-lt"/>
                  <a:ea typeface="+mn-ea"/>
                  <a:cs typeface="+mn-cs"/>
                </a:rPr>
                <a:t>n</a:t>
              </a:r>
              <a:r>
                <a:rPr lang="en-US" sz="1100">
                  <a:solidFill>
                    <a:schemeClr val="tx1"/>
                  </a:solidFill>
                  <a:effectLst/>
                  <a:latin typeface="+mn-lt"/>
                  <a:ea typeface="+mn-ea"/>
                  <a:cs typeface="+mn-cs"/>
                </a:rPr>
                <a:t> with measured units in volume per time [L</a:t>
              </a:r>
              <a:r>
                <a:rPr lang="en-US" sz="1100" baseline="30000">
                  <a:solidFill>
                    <a:schemeClr val="tx1"/>
                  </a:solidFill>
                  <a:effectLst/>
                  <a:latin typeface="+mn-lt"/>
                  <a:ea typeface="+mn-ea"/>
                  <a:cs typeface="+mn-cs"/>
                </a:rPr>
                <a:t>3</a:t>
              </a:r>
              <a:r>
                <a:rPr lang="en-US" sz="1100">
                  <a:solidFill>
                    <a:schemeClr val="tx1"/>
                  </a:solidFill>
                  <a:effectLst/>
                  <a:latin typeface="+mn-lt"/>
                  <a:ea typeface="+mn-ea"/>
                  <a:cs typeface="+mn-cs"/>
                </a:rPr>
                <a:t>T</a:t>
              </a:r>
              <a:r>
                <a:rPr lang="en-US" sz="1100" baseline="30000">
                  <a:solidFill>
                    <a:schemeClr val="tx1"/>
                  </a:solidFill>
                  <a:effectLst/>
                  <a:latin typeface="+mn-lt"/>
                  <a:ea typeface="+mn-ea"/>
                  <a:cs typeface="+mn-cs"/>
                </a:rPr>
                <a:t>-1</a:t>
              </a:r>
              <a:r>
                <a:rPr lang="en-US" sz="1100">
                  <a:solidFill>
                    <a:schemeClr val="tx1"/>
                  </a:solidFill>
                  <a:effectLst/>
                  <a:latin typeface="+mn-lt"/>
                  <a:ea typeface="+mn-ea"/>
                  <a:cs typeface="+mn-cs"/>
                </a:rPr>
                <a:t>], typically liters per second. </a:t>
              </a:r>
            </a:p>
            <a:p>
              <a:endParaRPr lang="en-US" sz="1100">
                <a:solidFill>
                  <a:schemeClr val="tx1"/>
                </a:solidFill>
                <a:effectLst/>
                <a:latin typeface="+mn-lt"/>
                <a:ea typeface="+mn-ea"/>
                <a:cs typeface="+mn-cs"/>
              </a:endParaRPr>
            </a:p>
            <a:p>
              <a:r>
                <a:rPr lang="en-US" sz="1100" b="1" i="1">
                  <a:solidFill>
                    <a:sysClr val="windowText" lastClr="000000"/>
                  </a:solidFill>
                  <a:effectLst/>
                  <a:latin typeface="+mn-lt"/>
                  <a:ea typeface="+mn-ea"/>
                  <a:cs typeface="+mn-cs"/>
                </a:rPr>
                <a:t>Equation 2: Mass Discharge from</a:t>
              </a:r>
              <a:r>
                <a:rPr lang="en-US" sz="1100" b="1" i="1" baseline="0">
                  <a:solidFill>
                    <a:sysClr val="windowText" lastClr="000000"/>
                  </a:solidFill>
                  <a:effectLst/>
                  <a:latin typeface="+mn-lt"/>
                  <a:ea typeface="+mn-ea"/>
                  <a:cs typeface="+mn-cs"/>
                </a:rPr>
                <a:t> Aerial Deposition</a:t>
              </a: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m:t>
                        </m:r>
                      </m:e>
                      <m:sub>
                        <m:r>
                          <a:rPr lang="en-US" sz="1100" b="0" i="1">
                            <a:solidFill>
                              <a:schemeClr val="tx1"/>
                            </a:solidFill>
                            <a:effectLst/>
                            <a:latin typeface="Cambria Math" panose="02040503050406030204" pitchFamily="18" charset="0"/>
                            <a:ea typeface="+mn-ea"/>
                            <a:cs typeface="+mn-cs"/>
                          </a:rPr>
                          <m:t>𝑇𝑇</m:t>
                        </m:r>
                        <m:r>
                          <a:rPr lang="en-US" sz="1100" b="0" i="1">
                            <a:solidFill>
                              <a:schemeClr val="tx1"/>
                            </a:solidFill>
                            <a:effectLst/>
                            <a:latin typeface="Cambria Math" panose="02040503050406030204" pitchFamily="18" charset="0"/>
                            <a:ea typeface="+mn-ea"/>
                            <a:cs typeface="+mn-cs"/>
                          </a:rPr>
                          <m:t>3+</m:t>
                        </m:r>
                      </m:sub>
                    </m:sSub>
                    <m:r>
                      <a:rPr lang="en-US" sz="1100" i="1">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Σ</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m:t>
                        </m:r>
                      </m:e>
                      <m:sub>
                        <m:r>
                          <a:rPr lang="en-US" sz="1100" b="0" i="1">
                            <a:solidFill>
                              <a:schemeClr val="tx1"/>
                            </a:solidFill>
                            <a:effectLst/>
                            <a:latin typeface="Cambria Math" panose="02040503050406030204" pitchFamily="18" charset="0"/>
                            <a:ea typeface="+mn-ea"/>
                            <a:cs typeface="+mn-cs"/>
                          </a:rPr>
                          <m:t>𝐻𝐹𝑃𝑂</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𝐷𝐴</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m:t>
                    </m:r>
                  </m:oMath>
                </m:oMathPara>
              </a14:m>
              <a:endParaRPr lang="en-US" sz="1100" b="0" i="1">
                <a:solidFill>
                  <a:schemeClr val="tx1"/>
                </a:solidFill>
                <a:effectLst/>
                <a:latin typeface="Cambria Math" panose="020405030504060302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                         </a:t>
              </a:r>
              <a14:m>
                <m:oMath xmlns:m="http://schemas.openxmlformats.org/officeDocument/2006/math">
                  <m:r>
                    <a:rPr lang="en-US" sz="1100" b="0" i="0">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Σ</m:t>
                  </m:r>
                  <m:d>
                    <m:dPr>
                      <m:ctrlPr>
                        <a:rPr lang="en-US" sz="1100" b="0" i="1">
                          <a:solidFill>
                            <a:schemeClr val="tx1"/>
                          </a:solidFill>
                          <a:effectLst/>
                          <a:latin typeface="Cambria Math" panose="02040503050406030204" pitchFamily="18" charset="0"/>
                          <a:ea typeface="+mn-ea"/>
                          <a:cs typeface="+mn-cs"/>
                        </a:rPr>
                      </m:ctrlPr>
                    </m:dPr>
                    <m:e>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𝐷</m:t>
                          </m:r>
                        </m:e>
                        <m:sub>
                          <m:r>
                            <a:rPr lang="en-US" sz="1100" b="0" i="1">
                              <a:solidFill>
                                <a:schemeClr val="tx1"/>
                              </a:solidFill>
                              <a:effectLst/>
                              <a:latin typeface="Cambria Math" panose="02040503050406030204" pitchFamily="18" charset="0"/>
                              <a:ea typeface="+mn-ea"/>
                              <a:cs typeface="+mn-cs"/>
                            </a:rPr>
                            <m:t>𝑎𝑣𝑔</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𝑟𝑖𝑣𝑒𝑟</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𝑡</m:t>
                      </m:r>
                    </m:e>
                  </m:d>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m:t>
                  </m:r>
                </m:oMath>
              </a14:m>
              <a:endParaRPr lang="en-US">
                <a:effectLst/>
              </a:endParaRPr>
            </a:p>
            <a:p>
              <a:r>
                <a:rPr lang="en-US" sz="1100">
                  <a:solidFill>
                    <a:schemeClr val="tx1"/>
                  </a:solidFill>
                  <a:effectLst/>
                  <a:latin typeface="+mn-lt"/>
                  <a:ea typeface="+mn-ea"/>
                  <a:cs typeface="+mn-cs"/>
                </a:rPr>
                <a:t>Where</a:t>
              </a:r>
            </a:p>
            <a:p>
              <a:r>
                <a:rPr lang="en-US" sz="1100">
                  <a:solidFill>
                    <a:schemeClr val="tx1"/>
                  </a:solidFill>
                  <a:effectLst/>
                  <a:latin typeface="+mn-lt"/>
                  <a:ea typeface="+mn-ea"/>
                  <a:cs typeface="+mn-cs"/>
                </a:rPr>
                <a:t>M</a:t>
              </a:r>
              <a:r>
                <a:rPr lang="en-US" sz="1100" baseline="-25000">
                  <a:solidFill>
                    <a:schemeClr val="tx1"/>
                  </a:solidFill>
                  <a:effectLst/>
                  <a:latin typeface="+mn-lt"/>
                  <a:ea typeface="+mn-ea"/>
                  <a:cs typeface="+mn-cs"/>
                </a:rPr>
                <a:t>TT3+</a:t>
              </a:r>
              <a:r>
                <a:rPr lang="en-US" sz="1100" baseline="0">
                  <a:solidFill>
                    <a:schemeClr val="tx1"/>
                  </a:solidFill>
                  <a:effectLst/>
                  <a:latin typeface="+mn-lt"/>
                  <a:ea typeface="+mn-ea"/>
                  <a:cs typeface="+mn-cs"/>
                </a:rPr>
                <a:t> = mass discharge of Total Table 3+ PFAS compounds into the river in millligrams per second.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a:t>
              </a:r>
              <a:r>
                <a:rPr lang="en-US" sz="1100" baseline="-25000">
                  <a:solidFill>
                    <a:schemeClr val="tx1"/>
                  </a:solidFill>
                  <a:effectLst/>
                  <a:latin typeface="+mn-lt"/>
                  <a:ea typeface="+mn-ea"/>
                  <a:cs typeface="+mn-cs"/>
                </a:rPr>
                <a:t>HFPO-DA</a:t>
              </a:r>
              <a:r>
                <a:rPr lang="en-US" sz="1100" baseline="0">
                  <a:solidFill>
                    <a:schemeClr val="tx1"/>
                  </a:solidFill>
                  <a:effectLst/>
                  <a:latin typeface="+mn-lt"/>
                  <a:ea typeface="+mn-ea"/>
                  <a:cs typeface="+mn-cs"/>
                </a:rPr>
                <a:t> = mass discharge of HFPO-DA into the river in millligrams per second.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R = average ratio of measured HFPO-DA to Total Table 3+ compounds across the nine offsite seeps.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D</a:t>
              </a:r>
              <a:r>
                <a:rPr lang="en-US" sz="1100" baseline="-25000">
                  <a:solidFill>
                    <a:schemeClr val="tx1"/>
                  </a:solidFill>
                  <a:effectLst/>
                  <a:latin typeface="+mn-lt"/>
                  <a:ea typeface="+mn-ea"/>
                  <a:cs typeface="+mn-cs"/>
                </a:rPr>
                <a:t>avg</a:t>
              </a:r>
              <a:r>
                <a:rPr lang="en-US" sz="1100" baseline="0">
                  <a:solidFill>
                    <a:schemeClr val="tx1"/>
                  </a:solidFill>
                  <a:effectLst/>
                  <a:latin typeface="+mn-lt"/>
                  <a:ea typeface="+mn-ea"/>
                  <a:cs typeface="+mn-cs"/>
                </a:rPr>
                <a:t> = average deposition rate based on the ERM model (2018).</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A = spatial area over which deposition occurs.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 = travel time through the river section length. </a:t>
              </a:r>
              <a:endParaRPr lang="en-US" sz="1100">
                <a:solidFill>
                  <a:schemeClr val="tx1"/>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a:solidFill>
                    <a:sysClr val="windowText" lastClr="000000"/>
                  </a:solidFill>
                </a:rPr>
                <a:t>The mass discharge from the</a:t>
              </a:r>
              <a:r>
                <a:rPr lang="en-US" sz="1100" baseline="0">
                  <a:solidFill>
                    <a:sysClr val="windowText" lastClr="000000"/>
                  </a:solidFill>
                </a:rPr>
                <a:t> onsite groundwater is calculated for 8 segments of the Black Creek Aquifer along the Cape Fear River frontage using hydraulic conductivity and hydraulic gradient.</a:t>
              </a:r>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baseline="0">
                  <a:solidFill>
                    <a:sysClr val="windowText" lastClr="000000"/>
                  </a:solidFill>
                  <a:effectLst/>
                  <a:latin typeface="+mn-lt"/>
                  <a:ea typeface="+mn-ea"/>
                  <a:cs typeface="+mn-cs"/>
                </a:rPr>
                <a:t>Equation 2: Onsite Groundwater mass flux</a:t>
              </a:r>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ysClr val="windowText" lastClr="000000"/>
                        </a:solidFill>
                        <a:effectLst/>
                        <a:latin typeface="Cambria Math" panose="02040503050406030204" pitchFamily="18" charset="0"/>
                        <a:ea typeface="+mn-ea"/>
                        <a:cs typeface="+mn-cs"/>
                      </a:rPr>
                      <m:t>𝑄</m:t>
                    </m:r>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𝑙h𝐾𝑖𝐶𝑓</m:t>
                    </m:r>
                  </m:oMath>
                </m:oMathPara>
              </a14:m>
              <a:endParaRPr lang="en-US" sz="1100">
                <a:solidFill>
                  <a:sysClr val="windowText" lastClr="000000"/>
                </a:solidFill>
                <a:effectLst/>
                <a:latin typeface="+mn-lt"/>
                <a:ea typeface="+mn-ea"/>
                <a:cs typeface="+mn-cs"/>
              </a:endParaRPr>
            </a:p>
            <a:p>
              <a:r>
                <a:rPr lang="en-US" sz="1100">
                  <a:solidFill>
                    <a:sysClr val="windowText" lastClr="000000"/>
                  </a:solidFill>
                </a:rPr>
                <a:t>Where</a:t>
              </a:r>
            </a:p>
            <a:p>
              <a:r>
                <a:rPr lang="en-US" sz="1100" i="1">
                  <a:solidFill>
                    <a:sysClr val="windowText" lastClr="000000"/>
                  </a:solidFill>
                  <a:effectLst/>
                  <a:latin typeface="+mn-lt"/>
                  <a:ea typeface="+mn-ea"/>
                  <a:cs typeface="+mn-cs"/>
                </a:rPr>
                <a:t>Q</a:t>
              </a:r>
              <a:r>
                <a:rPr lang="en-US" sz="1100">
                  <a:solidFill>
                    <a:sysClr val="windowText" lastClr="000000"/>
                  </a:solidFill>
                  <a:effectLst/>
                  <a:latin typeface="+mn-lt"/>
                  <a:ea typeface="+mn-ea"/>
                  <a:cs typeface="+mn-cs"/>
                </a:rPr>
                <a:t> is the mass flux; </a:t>
              </a:r>
            </a:p>
            <a:p>
              <a:r>
                <a:rPr lang="en-US" sz="1100" i="1">
                  <a:solidFill>
                    <a:sysClr val="windowText" lastClr="000000"/>
                  </a:solidFill>
                  <a:effectLst/>
                  <a:latin typeface="+mn-lt"/>
                  <a:ea typeface="+mn-ea"/>
                  <a:cs typeface="+mn-cs"/>
                </a:rPr>
                <a:t>l</a:t>
              </a:r>
              <a:r>
                <a:rPr lang="en-US" sz="1100">
                  <a:solidFill>
                    <a:sysClr val="windowText" lastClr="000000"/>
                  </a:solidFill>
                  <a:effectLst/>
                  <a:latin typeface="+mn-lt"/>
                  <a:ea typeface="+mn-ea"/>
                  <a:cs typeface="+mn-cs"/>
                </a:rPr>
                <a:t> is the segment length;</a:t>
              </a:r>
            </a:p>
            <a:p>
              <a:r>
                <a:rPr lang="en-US" sz="1100" i="1">
                  <a:solidFill>
                    <a:sysClr val="windowText" lastClr="000000"/>
                  </a:solidFill>
                  <a:effectLst/>
                  <a:latin typeface="+mn-lt"/>
                  <a:ea typeface="+mn-ea"/>
                  <a:cs typeface="+mn-cs"/>
                </a:rPr>
                <a:t>h</a:t>
              </a:r>
              <a:r>
                <a:rPr lang="en-US" sz="1100">
                  <a:solidFill>
                    <a:sysClr val="windowText" lastClr="000000"/>
                  </a:solidFill>
                  <a:effectLst/>
                  <a:latin typeface="+mn-lt"/>
                  <a:ea typeface="+mn-ea"/>
                  <a:cs typeface="+mn-cs"/>
                </a:rPr>
                <a:t> is the Black Creek Aquifer thickness, derived</a:t>
              </a:r>
              <a:r>
                <a:rPr lang="en-US" sz="1100" baseline="0">
                  <a:solidFill>
                    <a:sysClr val="windowText" lastClr="000000"/>
                  </a:solidFill>
                  <a:effectLst/>
                  <a:latin typeface="+mn-lt"/>
                  <a:ea typeface="+mn-ea"/>
                  <a:cs typeface="+mn-cs"/>
                </a:rPr>
                <a:t> based on the cross sectional area of the Black Creek Aquifer and length of each segment</a:t>
              </a:r>
              <a:r>
                <a:rPr lang="en-US" sz="1100">
                  <a:solidFill>
                    <a:sysClr val="windowText" lastClr="000000"/>
                  </a:solidFill>
                  <a:effectLst/>
                  <a:latin typeface="+mn-lt"/>
                  <a:ea typeface="+mn-ea"/>
                  <a:cs typeface="+mn-cs"/>
                </a:rPr>
                <a:t>;</a:t>
              </a:r>
            </a:p>
            <a:p>
              <a:r>
                <a:rPr lang="en-US" sz="1100" i="1">
                  <a:solidFill>
                    <a:sysClr val="windowText" lastClr="000000"/>
                  </a:solidFill>
                  <a:effectLst/>
                  <a:latin typeface="+mn-lt"/>
                  <a:ea typeface="+mn-ea"/>
                  <a:cs typeface="+mn-cs"/>
                </a:rPr>
                <a:t>K</a:t>
              </a:r>
              <a:r>
                <a:rPr lang="en-US" sz="1100">
                  <a:solidFill>
                    <a:sysClr val="windowText" lastClr="000000"/>
                  </a:solidFill>
                  <a:effectLst/>
                  <a:latin typeface="+mn-lt"/>
                  <a:ea typeface="+mn-ea"/>
                  <a:cs typeface="+mn-cs"/>
                </a:rPr>
                <a:t> is the hydraulic conductivity of the aquifer, determined</a:t>
              </a:r>
              <a:r>
                <a:rPr lang="en-US" sz="1100" baseline="0">
                  <a:solidFill>
                    <a:sysClr val="windowText" lastClr="000000"/>
                  </a:solidFill>
                  <a:effectLst/>
                  <a:latin typeface="+mn-lt"/>
                  <a:ea typeface="+mn-ea"/>
                  <a:cs typeface="+mn-cs"/>
                </a:rPr>
                <a:t> based on slug test results</a:t>
              </a:r>
              <a:r>
                <a:rPr lang="en-US" sz="1100">
                  <a:solidFill>
                    <a:sysClr val="windowText" lastClr="000000"/>
                  </a:solidFill>
                  <a:effectLst/>
                  <a:latin typeface="+mn-lt"/>
                  <a:ea typeface="+mn-ea"/>
                  <a:cs typeface="+mn-cs"/>
                </a:rPr>
                <a:t>; </a:t>
              </a:r>
            </a:p>
            <a:p>
              <a:r>
                <a:rPr lang="en-US" sz="1100" i="1">
                  <a:solidFill>
                    <a:sysClr val="windowText" lastClr="000000"/>
                  </a:solidFill>
                  <a:effectLst/>
                  <a:latin typeface="+mn-lt"/>
                  <a:ea typeface="+mn-ea"/>
                  <a:cs typeface="+mn-cs"/>
                </a:rPr>
                <a:t>i</a:t>
              </a:r>
              <a:r>
                <a:rPr lang="en-US" sz="1100">
                  <a:solidFill>
                    <a:sysClr val="windowText" lastClr="000000"/>
                  </a:solidFill>
                  <a:effectLst/>
                  <a:latin typeface="+mn-lt"/>
                  <a:ea typeface="+mn-ea"/>
                  <a:cs typeface="+mn-cs"/>
                </a:rPr>
                <a:t> is the hydraulic gradient, derived based on the distance</a:t>
              </a:r>
              <a:r>
                <a:rPr lang="en-US" sz="1100" baseline="0">
                  <a:solidFill>
                    <a:sysClr val="windowText" lastClr="000000"/>
                  </a:solidFill>
                  <a:effectLst/>
                  <a:latin typeface="+mn-lt"/>
                  <a:ea typeface="+mn-ea"/>
                  <a:cs typeface="+mn-cs"/>
                </a:rPr>
                <a:t> between groundwater level comtours in the vicinity of the river frontage</a:t>
              </a:r>
              <a:r>
                <a:rPr lang="en-US" sz="1100">
                  <a:solidFill>
                    <a:sysClr val="windowText" lastClr="000000"/>
                  </a:solidFill>
                  <a:effectLst/>
                  <a:latin typeface="+mn-lt"/>
                  <a:ea typeface="+mn-ea"/>
                  <a:cs typeface="+mn-cs"/>
                </a:rPr>
                <a:t>; and</a:t>
              </a:r>
            </a:p>
            <a:p>
              <a:r>
                <a:rPr lang="en-US" sz="1100" i="1">
                  <a:solidFill>
                    <a:sysClr val="windowText" lastClr="000000"/>
                  </a:solidFill>
                  <a:effectLst/>
                  <a:latin typeface="+mn-lt"/>
                  <a:ea typeface="+mn-ea"/>
                  <a:cs typeface="+mn-cs"/>
                </a:rPr>
                <a:t>C</a:t>
              </a:r>
              <a:r>
                <a:rPr lang="en-US" sz="1100">
                  <a:solidFill>
                    <a:sysClr val="windowText" lastClr="000000"/>
                  </a:solidFill>
                  <a:effectLst/>
                  <a:latin typeface="+mn-lt"/>
                  <a:ea typeface="+mn-ea"/>
                  <a:cs typeface="+mn-cs"/>
                </a:rPr>
                <a:t> is the total Table 3+ concentration.</a:t>
              </a:r>
            </a:p>
            <a:p>
              <a:endParaRPr lang="en-US" sz="1100">
                <a:solidFill>
                  <a:sysClr val="windowText" lastClr="000000"/>
                </a:solidFill>
                <a:effectLst/>
                <a:latin typeface="+mn-lt"/>
                <a:ea typeface="+mn-ea"/>
                <a:cs typeface="+mn-cs"/>
              </a:endParaRPr>
            </a:p>
            <a:p>
              <a:r>
                <a:rPr lang="en-US" sz="1100">
                  <a:solidFill>
                    <a:sysClr val="windowText" lastClr="000000"/>
                  </a:solidFill>
                </a:rPr>
                <a:t>To calculate the mass discharge from the upstream</a:t>
              </a:r>
              <a:r>
                <a:rPr lang="en-US" sz="1100" baseline="0">
                  <a:solidFill>
                    <a:sysClr val="windowText" lastClr="000000"/>
                  </a:solidFill>
                </a:rPr>
                <a:t> river and groundwater, it was necessary to estimate flow in the Cape Fear River directly upstream of the Facility at River Mile 76. This calculation was done by subtracting inflows from Willis Creek, Outfall 002, upwelling onsite groundwater, and seeps to the river, and by adding the river water intake from Chemours to the flow rate measurement from the W.O.Huske Dam.</a:t>
              </a:r>
            </a:p>
            <a:p>
              <a:r>
                <a:rPr lang="en-US" sz="1100" b="1" i="1" u="none" baseline="0">
                  <a:solidFill>
                    <a:sysClr val="windowText" lastClr="000000"/>
                  </a:solidFill>
                </a:rPr>
                <a:t>Equation 3: Flow at Upstream Cape Fear River and Groundwater</a:t>
              </a: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𝑈𝑝𝑠𝑡𝑟𝑒𝑎𝑚</m:t>
                        </m:r>
                      </m:sub>
                    </m:sSub>
                    <m:r>
                      <a:rPr lang="en-US" sz="110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𝑊𝑂𝐻𝑢𝑠𝑘𝑒</m:t>
                        </m:r>
                      </m:sub>
                    </m:sSub>
                    <m:r>
                      <a:rPr lang="en-US" sz="1100" b="0" i="1">
                        <a:solidFill>
                          <a:sysClr val="windowText" lastClr="000000"/>
                        </a:solidFill>
                        <a:effectLst/>
                        <a:latin typeface="Cambria Math" panose="02040503050406030204" pitchFamily="18" charset="0"/>
                        <a:ea typeface="+mn-ea"/>
                        <a:cs typeface="+mn-cs"/>
                      </a:rPr>
                      <m:t>− </m:t>
                    </m:r>
                    <m:d>
                      <m:dPr>
                        <m:ctrlPr>
                          <a:rPr lang="en-US" sz="1100" b="0" i="1">
                            <a:solidFill>
                              <a:sysClr val="windowText" lastClr="000000"/>
                            </a:solidFill>
                            <a:effectLst/>
                            <a:latin typeface="Cambria Math" panose="02040503050406030204" pitchFamily="18" charset="0"/>
                            <a:ea typeface="+mn-ea"/>
                            <a:cs typeface="+mn-cs"/>
                          </a:rPr>
                        </m:ctrlPr>
                      </m:dPr>
                      <m:e>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𝑊𝐶</m:t>
                            </m:r>
                          </m:sub>
                        </m:sSub>
                        <m:r>
                          <a:rPr lang="en-US" sz="1100" b="0" i="1">
                            <a:solidFill>
                              <a:sysClr val="windowText" lastClr="000000"/>
                            </a:solidFill>
                            <a:effectLst/>
                            <a:latin typeface="Cambria Math" panose="02040503050406030204" pitchFamily="18" charset="0"/>
                            <a:ea typeface="+mn-ea"/>
                            <a:cs typeface="+mn-cs"/>
                          </a:rPr>
                          <m:t>+</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𝑂𝐹</m:t>
                            </m:r>
                            <m:r>
                              <a:rPr lang="en-US" sz="1100" b="0" i="1">
                                <a:solidFill>
                                  <a:sysClr val="windowText" lastClr="000000"/>
                                </a:solidFill>
                                <a:effectLst/>
                                <a:latin typeface="Cambria Math" panose="02040503050406030204" pitchFamily="18" charset="0"/>
                                <a:ea typeface="+mn-ea"/>
                                <a:cs typeface="+mn-cs"/>
                              </a:rPr>
                              <m:t>002</m:t>
                            </m:r>
                          </m:sub>
                        </m:sSub>
                        <m:r>
                          <a:rPr lang="en-US" sz="1100" b="0" i="1">
                            <a:solidFill>
                              <a:sysClr val="windowText" lastClr="000000"/>
                            </a:solidFill>
                            <a:effectLst/>
                            <a:latin typeface="Cambria Math" panose="02040503050406030204" pitchFamily="18" charset="0"/>
                            <a:ea typeface="+mn-ea"/>
                            <a:cs typeface="+mn-cs"/>
                          </a:rPr>
                          <m:t>+</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𝑂𝑛𝑠𝑖𝑡𝑒</m:t>
                            </m:r>
                            <m:r>
                              <a:rPr lang="en-US" sz="1100" b="0" i="1">
                                <a:solidFill>
                                  <a:sysClr val="windowText" lastClr="000000"/>
                                </a:solidFill>
                                <a:effectLst/>
                                <a:latin typeface="Cambria Math" panose="02040503050406030204" pitchFamily="18" charset="0"/>
                                <a:ea typeface="+mn-ea"/>
                                <a:cs typeface="+mn-cs"/>
                              </a:rPr>
                              <m:t> </m:t>
                            </m:r>
                            <m:r>
                              <a:rPr lang="en-US" sz="1100" b="0" i="1">
                                <a:solidFill>
                                  <a:sysClr val="windowText" lastClr="000000"/>
                                </a:solidFill>
                                <a:effectLst/>
                                <a:latin typeface="Cambria Math" panose="02040503050406030204" pitchFamily="18" charset="0"/>
                                <a:ea typeface="+mn-ea"/>
                                <a:cs typeface="+mn-cs"/>
                              </a:rPr>
                              <m:t>𝐺𝑊</m:t>
                            </m:r>
                          </m:sub>
                        </m:sSub>
                        <m:r>
                          <a:rPr lang="en-US" sz="1100" b="0" i="1">
                            <a:solidFill>
                              <a:sysClr val="windowText" lastClr="000000"/>
                            </a:solidFill>
                            <a:effectLst/>
                            <a:latin typeface="Cambria Math" panose="02040503050406030204" pitchFamily="18" charset="0"/>
                            <a:ea typeface="+mn-ea"/>
                            <a:cs typeface="+mn-cs"/>
                          </a:rPr>
                          <m:t>+</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𝑆𝑒𝑒𝑝𝑠</m:t>
                            </m:r>
                          </m:sub>
                        </m:sSub>
                      </m:e>
                    </m:d>
                    <m:r>
                      <a:rPr lang="en-US" sz="1100" b="0" i="1">
                        <a:solidFill>
                          <a:sysClr val="windowText" lastClr="000000"/>
                        </a:solidFill>
                        <a:effectLst/>
                        <a:latin typeface="Cambria Math" panose="02040503050406030204" pitchFamily="18" charset="0"/>
                        <a:ea typeface="+mn-ea"/>
                        <a:cs typeface="+mn-cs"/>
                      </a:rPr>
                      <m:t>+ </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𝐼𝑛𝑡𝑎𝑘𝑒</m:t>
                        </m:r>
                      </m:sub>
                    </m:sSub>
                  </m:oMath>
                </m:oMathPara>
              </a14:m>
              <a:endParaRPr lang="en-US">
                <a:solidFill>
                  <a:sysClr val="windowText" lastClr="000000"/>
                </a:solidFill>
                <a:effectLst/>
              </a:endParaRPr>
            </a:p>
            <a:p>
              <a:endParaRPr lang="en-US" sz="1100" b="1" u="sng">
                <a:solidFill>
                  <a:sysClr val="windowText" lastClr="000000"/>
                </a:solidFill>
              </a:endParaRPr>
            </a:p>
            <a:p>
              <a:r>
                <a:rPr lang="en-US" sz="1100">
                  <a:solidFill>
                    <a:sysClr val="windowText" lastClr="000000"/>
                  </a:solidFill>
                </a:rPr>
                <a:t>Where</a:t>
              </a:r>
            </a:p>
            <a:p>
              <a14:m>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𝑈𝑝𝑠𝑡𝑟𝑒𝑎𝑚</m:t>
                      </m:r>
                    </m:sub>
                  </m:sSub>
                </m:oMath>
              </a14:m>
              <a:r>
                <a:rPr lang="en-US" sz="1100">
                  <a:solidFill>
                    <a:sysClr val="windowText" lastClr="000000"/>
                  </a:solidFill>
                </a:rPr>
                <a:t> is the flow volume at River Mile 76;</a:t>
              </a: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𝑊𝑂𝐻𝑢𝑠𝑘𝑒</m:t>
                      </m:r>
                    </m:sub>
                  </m:sSub>
                </m:oMath>
              </a14:m>
              <a:r>
                <a:rPr lang="en-US" sz="1100">
                  <a:solidFill>
                    <a:sysClr val="windowText" lastClr="000000"/>
                  </a:solidFill>
                  <a:effectLst/>
                  <a:latin typeface="+mn-lt"/>
                  <a:ea typeface="+mn-ea"/>
                  <a:cs typeface="+mn-cs"/>
                </a:rPr>
                <a:t> is the flow volume at W.O.Huske Dam, as reported</a:t>
              </a:r>
              <a:r>
                <a:rPr lang="en-US" sz="1100" baseline="0">
                  <a:solidFill>
                    <a:sysClr val="windowText" lastClr="000000"/>
                  </a:solidFill>
                  <a:effectLst/>
                  <a:latin typeface="+mn-lt"/>
                  <a:ea typeface="+mn-ea"/>
                  <a:cs typeface="+mn-cs"/>
                </a:rPr>
                <a:t> by the USGS</a:t>
              </a:r>
              <a:r>
                <a:rPr lang="en-US" sz="1100">
                  <a:solidFill>
                    <a:sysClr val="windowText" lastClr="000000"/>
                  </a:solidFill>
                  <a:effectLst/>
                  <a:latin typeface="+mn-lt"/>
                  <a:ea typeface="+mn-ea"/>
                  <a:cs typeface="+mn-cs"/>
                </a:rPr>
                <a:t>;</a:t>
              </a:r>
              <a:endParaRPr lang="en-US">
                <a:solidFill>
                  <a:sysClr val="windowText" lastClr="000000"/>
                </a:solidFill>
                <a:effectLst/>
              </a:endParaRPr>
            </a:p>
            <a:p>
              <a14:m>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𝑊𝐶</m:t>
                      </m:r>
                    </m:sub>
                  </m:sSub>
                </m:oMath>
              </a14:m>
              <a:r>
                <a:rPr lang="en-US" sz="1100">
                  <a:solidFill>
                    <a:sysClr val="windowText" lastClr="000000"/>
                  </a:solidFill>
                  <a:effectLst/>
                  <a:latin typeface="+mn-lt"/>
                  <a:ea typeface="+mn-ea"/>
                  <a:cs typeface="+mn-cs"/>
                </a:rPr>
                <a:t> is the flow volume at WIllis</a:t>
              </a:r>
              <a:r>
                <a:rPr lang="en-US" sz="1100" baseline="0">
                  <a:solidFill>
                    <a:sysClr val="windowText" lastClr="000000"/>
                  </a:solidFill>
                  <a:effectLst/>
                  <a:latin typeface="+mn-lt"/>
                  <a:ea typeface="+mn-ea"/>
                  <a:cs typeface="+mn-cs"/>
                </a:rPr>
                <a:t> Creek, as measured by the point velocity method;</a:t>
              </a:r>
              <a:endParaRPr lang="en-US">
                <a:solidFill>
                  <a:sysClr val="windowText" lastClr="000000"/>
                </a:solidFill>
                <a:effectLst/>
              </a:endParaRPr>
            </a:p>
            <a:p>
              <a:pPr eaLnBrk="1" fontAlgn="auto" latinLnBrk="0" hangingPunct="1"/>
              <a14:m>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𝑂𝐹</m:t>
                      </m:r>
                      <m:r>
                        <a:rPr lang="en-US" sz="1100" b="0" i="1">
                          <a:solidFill>
                            <a:sysClr val="windowText" lastClr="000000"/>
                          </a:solidFill>
                          <a:effectLst/>
                          <a:latin typeface="Cambria Math" panose="02040503050406030204" pitchFamily="18" charset="0"/>
                          <a:ea typeface="+mn-ea"/>
                          <a:cs typeface="+mn-cs"/>
                        </a:rPr>
                        <m:t>002</m:t>
                      </m:r>
                    </m:sub>
                  </m:sSub>
                </m:oMath>
              </a14:m>
              <a:r>
                <a:rPr lang="en-US" sz="1100">
                  <a:solidFill>
                    <a:sysClr val="windowText" lastClr="000000"/>
                  </a:solidFill>
                  <a:effectLst/>
                  <a:latin typeface="+mn-lt"/>
                  <a:ea typeface="+mn-ea"/>
                  <a:cs typeface="+mn-cs"/>
                </a:rPr>
                <a:t> is the flow volume at Outfall 002 as reported in Facility DIscharge Monitoring</a:t>
              </a:r>
              <a:r>
                <a:rPr lang="en-US" sz="1100" baseline="0">
                  <a:solidFill>
                    <a:sysClr val="windowText" lastClr="000000"/>
                  </a:solidFill>
                  <a:effectLst/>
                  <a:latin typeface="+mn-lt"/>
                  <a:ea typeface="+mn-ea"/>
                  <a:cs typeface="+mn-cs"/>
                </a:rPr>
                <a:t> Reports</a:t>
              </a:r>
              <a:r>
                <a:rPr lang="en-US" sz="1100">
                  <a:solidFill>
                    <a:sysClr val="windowText" lastClr="000000"/>
                  </a:solidFill>
                  <a:effectLst/>
                  <a:latin typeface="+mn-lt"/>
                  <a:ea typeface="+mn-ea"/>
                  <a:cs typeface="+mn-cs"/>
                </a:rPr>
                <a:t>;</a:t>
              </a:r>
              <a:endParaRPr lang="en-US">
                <a:solidFill>
                  <a:sysClr val="windowText" lastClr="000000"/>
                </a:solidFill>
                <a:effectLst/>
              </a:endParaRPr>
            </a:p>
            <a:p>
              <a14:m>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𝑂𝑛𝑠𝑖𝑡𝑒</m:t>
                      </m:r>
                      <m:r>
                        <a:rPr lang="en-US" sz="1100" b="0" i="1">
                          <a:solidFill>
                            <a:sysClr val="windowText" lastClr="000000"/>
                          </a:solidFill>
                          <a:effectLst/>
                          <a:latin typeface="Cambria Math" panose="02040503050406030204" pitchFamily="18" charset="0"/>
                          <a:ea typeface="+mn-ea"/>
                          <a:cs typeface="+mn-cs"/>
                        </a:rPr>
                        <m:t> </m:t>
                      </m:r>
                      <m:r>
                        <a:rPr lang="en-US" sz="1100" b="0" i="1">
                          <a:solidFill>
                            <a:sysClr val="windowText" lastClr="000000"/>
                          </a:solidFill>
                          <a:effectLst/>
                          <a:latin typeface="Cambria Math" panose="02040503050406030204" pitchFamily="18" charset="0"/>
                          <a:ea typeface="+mn-ea"/>
                          <a:cs typeface="+mn-cs"/>
                        </a:rPr>
                        <m:t>𝐺𝑊</m:t>
                      </m:r>
                    </m:sub>
                  </m:sSub>
                </m:oMath>
              </a14:m>
              <a:r>
                <a:rPr lang="en-US" sz="1100">
                  <a:solidFill>
                    <a:sysClr val="windowText" lastClr="000000"/>
                  </a:solidFill>
                  <a:effectLst/>
                  <a:latin typeface="+mn-lt"/>
                  <a:ea typeface="+mn-ea"/>
                  <a:cs typeface="+mn-cs"/>
                </a:rPr>
                <a:t> is the flow volume for onsite groundwater</a:t>
              </a:r>
              <a:r>
                <a:rPr lang="en-US" sz="1100" baseline="0">
                  <a:solidFill>
                    <a:sysClr val="windowText" lastClr="000000"/>
                  </a:solidFill>
                  <a:effectLst/>
                  <a:latin typeface="+mn-lt"/>
                  <a:ea typeface="+mn-ea"/>
                  <a:cs typeface="+mn-cs"/>
                </a:rPr>
                <a:t>, as calculated based on the cross sectional area, hydraulic gradient, and hydraulic conductivity for segments of the Black Creek Aquifer along the Cape Fear River Frontage (see tab named "Onsite GW Flow");</a:t>
              </a:r>
              <a:endParaRPr lang="en-US">
                <a:solidFill>
                  <a:sysClr val="windowText" lastClr="000000"/>
                </a:solidFill>
                <a:effectLst/>
              </a:endParaRPr>
            </a:p>
            <a:p>
              <a:pPr eaLnBrk="1" fontAlgn="auto" latinLnBrk="0" hangingPunct="1"/>
              <a14:m>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𝑆𝑒𝑒𝑝𝑠</m:t>
                      </m:r>
                    </m:sub>
                  </m:sSub>
                </m:oMath>
              </a14:m>
              <a:r>
                <a:rPr lang="en-US" sz="1100">
                  <a:solidFill>
                    <a:sysClr val="windowText" lastClr="000000"/>
                  </a:solidFill>
                  <a:effectLst/>
                  <a:latin typeface="+mn-lt"/>
                  <a:ea typeface="+mn-ea"/>
                  <a:cs typeface="+mn-cs"/>
                </a:rPr>
                <a:t> is the summed flow volume</a:t>
              </a:r>
              <a:r>
                <a:rPr lang="en-US" sz="1100" baseline="0">
                  <a:solidFill>
                    <a:sysClr val="windowText" lastClr="000000"/>
                  </a:solidFill>
                  <a:effectLst/>
                  <a:latin typeface="+mn-lt"/>
                  <a:ea typeface="+mn-ea"/>
                  <a:cs typeface="+mn-cs"/>
                </a:rPr>
                <a:t> for Seeps A, B, C, and D, as measured using flumes</a:t>
              </a:r>
              <a:r>
                <a:rPr lang="en-US" sz="1100">
                  <a:solidFill>
                    <a:sysClr val="windowText" lastClr="000000"/>
                  </a:solidFill>
                  <a:effectLst/>
                  <a:latin typeface="+mn-lt"/>
                  <a:ea typeface="+mn-ea"/>
                  <a:cs typeface="+mn-cs"/>
                </a:rPr>
                <a:t>; and</a:t>
              </a:r>
            </a:p>
            <a:p>
              <a:pPr eaLnBrk="1" fontAlgn="auto" latinLnBrk="0" hangingPunct="1"/>
              <a14:m>
                <m:oMath xmlns:m="http://schemas.openxmlformats.org/officeDocument/2006/math">
                  <m:sSub>
                    <m:sSubPr>
                      <m:ctrlPr>
                        <a:rPr lang="en-US" sz="110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𝑄</m:t>
                      </m:r>
                    </m:e>
                    <m:sub>
                      <m:r>
                        <a:rPr lang="en-US" sz="1100" b="0" i="1">
                          <a:solidFill>
                            <a:sysClr val="windowText" lastClr="000000"/>
                          </a:solidFill>
                          <a:effectLst/>
                          <a:latin typeface="Cambria Math" panose="02040503050406030204" pitchFamily="18" charset="0"/>
                          <a:ea typeface="+mn-ea"/>
                          <a:cs typeface="+mn-cs"/>
                        </a:rPr>
                        <m:t>𝑖𝑛𝑡𝑎𝑘𝑒</m:t>
                      </m:r>
                    </m:sub>
                  </m:sSub>
                </m:oMath>
              </a14:m>
              <a:r>
                <a:rPr lang="en-US" sz="1100">
                  <a:solidFill>
                    <a:sysClr val="windowText" lastClr="000000"/>
                  </a:solidFill>
                  <a:effectLst/>
                  <a:latin typeface="+mn-lt"/>
                  <a:ea typeface="+mn-ea"/>
                  <a:cs typeface="+mn-cs"/>
                </a:rPr>
                <a:t> is the flow volume at the Facility intake, as reported</a:t>
              </a:r>
              <a:r>
                <a:rPr lang="en-US" sz="1100" baseline="0">
                  <a:solidFill>
                    <a:sysClr val="windowText" lastClr="000000"/>
                  </a:solidFill>
                  <a:effectLst/>
                  <a:latin typeface="+mn-lt"/>
                  <a:ea typeface="+mn-ea"/>
                  <a:cs typeface="+mn-cs"/>
                </a:rPr>
                <a:t> by the Facility.</a:t>
              </a:r>
              <a:endParaRPr lang="en-US" sz="1100">
                <a:solidFill>
                  <a:sysClr val="windowText" lastClr="000000"/>
                </a:solidFill>
                <a:effectLst/>
                <a:latin typeface="+mn-lt"/>
                <a:ea typeface="+mn-ea"/>
                <a:cs typeface="+mn-cs"/>
              </a:endParaRPr>
            </a:p>
            <a:p>
              <a:pPr eaLnBrk="1" fontAlgn="auto" latinLnBrk="0" hangingPunct="1"/>
              <a:endParaRPr lang="en-US">
                <a:solidFill>
                  <a:sysClr val="windowText" lastClr="000000"/>
                </a:solidFill>
                <a:effectLst/>
              </a:endParaRPr>
            </a:p>
            <a:p>
              <a:r>
                <a:rPr lang="en-US" sz="1100">
                  <a:solidFill>
                    <a:sysClr val="windowText" lastClr="000000"/>
                  </a:solidFill>
                </a:rPr>
                <a:t>River</a:t>
              </a:r>
              <a:r>
                <a:rPr lang="en-US" sz="1100" baseline="0">
                  <a:solidFill>
                    <a:sysClr val="windowText" lastClr="000000"/>
                  </a:solidFill>
                </a:rPr>
                <a:t> flow volumes reported at the W.O. Huske Dam by the USGS are used t</a:t>
              </a:r>
              <a:r>
                <a:rPr lang="en-US" sz="1100">
                  <a:solidFill>
                    <a:sysClr val="windowText" lastClr="000000"/>
                  </a:solidFill>
                </a:rPr>
                <a:t>o calculate mass load</a:t>
              </a:r>
              <a:r>
                <a:rPr lang="en-US" sz="1100" baseline="0">
                  <a:solidFill>
                    <a:sysClr val="windowText" lastClr="000000"/>
                  </a:solidFill>
                </a:rPr>
                <a:t> at the Tar Heel Ferry Road location and the Bladen Bluff location.</a:t>
              </a:r>
              <a:endParaRPr lang="en-US" sz="1100">
                <a:solidFill>
                  <a:sysClr val="windowText" lastClr="000000"/>
                </a:solidFill>
              </a:endParaRPr>
            </a:p>
            <a:p>
              <a:r>
                <a:rPr lang="en-US" sz="1100">
                  <a:solidFill>
                    <a:schemeClr val="tx1"/>
                  </a:solidFill>
                  <a:effectLst/>
                  <a:latin typeface="+mn-lt"/>
                  <a:ea typeface="+mn-ea"/>
                  <a:cs typeface="+mn-cs"/>
                </a:rPr>
                <a:t>A time offset is applied to the flow data to account for travel time for the flow passing the W.O. Huske Dam to reach the Tar Heel Ferry Road location and the Bladen Bluff location. </a:t>
              </a:r>
            </a:p>
            <a:p>
              <a:r>
                <a:rPr lang="en-US" sz="1100">
                  <a:solidFill>
                    <a:schemeClr val="tx1"/>
                  </a:solidFill>
                  <a:effectLst/>
                  <a:latin typeface="+mn-lt"/>
                  <a:ea typeface="+mn-ea"/>
                  <a:cs typeface="+mn-cs"/>
                </a:rPr>
                <a:t>River flow passing the W.O. Huske is estimated to have a travel time between 2 and 12 hours to reach CFR-TARHEEL depending on river flow (e.g., the flow rate passing W.O. Huske Dam at 8 am will arrive at CFR-TARHEEL at 11 am for a 3 hour travel time). </a:t>
              </a:r>
            </a:p>
            <a:p>
              <a:r>
                <a:rPr lang="en-US" sz="1100">
                  <a:solidFill>
                    <a:schemeClr val="tx1"/>
                  </a:solidFill>
                  <a:effectLst/>
                  <a:latin typeface="+mn-lt"/>
                  <a:ea typeface="+mn-ea"/>
                  <a:cs typeface="+mn-cs"/>
                </a:rPr>
                <a:t>Travel times are estimated based on the results of a numerical model of the Cape Fear River which developed a regression curve between the USGS reported gage heights at W.O. Huske Dam and travel times (See tab</a:t>
              </a:r>
              <a:r>
                <a:rPr lang="en-US" sz="1100" baseline="0">
                  <a:solidFill>
                    <a:schemeClr val="tx1"/>
                  </a:solidFill>
                  <a:effectLst/>
                  <a:latin typeface="+mn-lt"/>
                  <a:ea typeface="+mn-ea"/>
                  <a:cs typeface="+mn-cs"/>
                </a:rPr>
                <a:t> named "Travel Times" for regression curves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Equations 3 and 4 show the formulas used to calculate the time offsets for Tar Heel and Bladen Bluffs, respectively. </a:t>
              </a:r>
            </a:p>
            <a:p>
              <a:r>
                <a:rPr lang="en-US" sz="1100" b="1" i="1">
                  <a:solidFill>
                    <a:schemeClr val="tx1"/>
                  </a:solidFill>
                  <a:effectLst/>
                  <a:latin typeface="+mn-lt"/>
                  <a:ea typeface="+mn-ea"/>
                  <a:cs typeface="+mn-cs"/>
                </a:rPr>
                <a:t>Equation 3: Travel time offset W.O. Huske Dam to Tar Heel Ferry Road Bridge</a:t>
              </a:r>
            </a:p>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𝑜𝑓𝑓𝑠𝑒𝑡</m:t>
                        </m:r>
                      </m:sub>
                    </m:sSub>
                    <m:r>
                      <a:rPr lang="en-US" sz="1100" i="1">
                        <a:solidFill>
                          <a:schemeClr val="tx1"/>
                        </a:solidFill>
                        <a:effectLst/>
                        <a:latin typeface="Cambria Math" panose="02040503050406030204" pitchFamily="18" charset="0"/>
                        <a:ea typeface="+mn-ea"/>
                        <a:cs typeface="+mn-cs"/>
                      </a:rPr>
                      <m:t>=13,422∙</m:t>
                    </m:r>
                    <m:sSubSup>
                      <m:sSubSupPr>
                        <m:ctrlPr>
                          <a:rPr lang="en-US" sz="1100" i="1">
                            <a:solidFill>
                              <a:schemeClr val="tx1"/>
                            </a:solidFill>
                            <a:effectLst/>
                            <a:latin typeface="Cambria Math" panose="02040503050406030204" pitchFamily="18" charset="0"/>
                            <a:ea typeface="+mn-ea"/>
                            <a:cs typeface="+mn-cs"/>
                          </a:rPr>
                        </m:ctrlPr>
                      </m:sSubSupPr>
                      <m:e>
                        <m:r>
                          <a:rPr lang="en-US" sz="1100" i="1">
                            <a:solidFill>
                              <a:schemeClr val="tx1"/>
                            </a:solidFill>
                            <a:effectLst/>
                            <a:latin typeface="Cambria Math" panose="02040503050406030204" pitchFamily="18" charset="0"/>
                            <a:ea typeface="+mn-ea"/>
                            <a:cs typeface="+mn-cs"/>
                          </a:rPr>
                          <m:t>𝑄</m:t>
                        </m:r>
                      </m:e>
                      <m:sub>
                        <m:r>
                          <a:rPr lang="en-US" sz="1100" i="1">
                            <a:solidFill>
                              <a:schemeClr val="tx1"/>
                            </a:solidFill>
                            <a:effectLst/>
                            <a:latin typeface="Cambria Math" panose="02040503050406030204" pitchFamily="18" charset="0"/>
                            <a:ea typeface="+mn-ea"/>
                            <a:cs typeface="+mn-cs"/>
                          </a:rPr>
                          <m:t>𝐶𝐹𝑅</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𝑊𝑂𝐻𝐷</m:t>
                        </m:r>
                      </m:sub>
                      <m:sup>
                        <m:r>
                          <a:rPr lang="en-US" sz="1100" i="1">
                            <a:solidFill>
                              <a:schemeClr val="tx1"/>
                            </a:solidFill>
                            <a:effectLst/>
                            <a:latin typeface="Cambria Math" panose="02040503050406030204" pitchFamily="18" charset="0"/>
                            <a:ea typeface="+mn-ea"/>
                            <a:cs typeface="+mn-cs"/>
                          </a:rPr>
                          <m:t>−1</m:t>
                        </m:r>
                      </m:sup>
                    </m:sSubSup>
                    <m:r>
                      <a:rPr lang="en-US" sz="1100" i="1">
                        <a:solidFill>
                          <a:schemeClr val="tx1"/>
                        </a:solidFill>
                        <a:effectLst/>
                        <a:latin typeface="Cambria Math" panose="02040503050406030204" pitchFamily="18" charset="0"/>
                        <a:ea typeface="+mn-ea"/>
                        <a:cs typeface="+mn-cs"/>
                      </a:rPr>
                      <m:t>+2.019</m:t>
                    </m:r>
                  </m:oMath>
                </m:oMathPara>
              </a14:m>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Where</a:t>
              </a:r>
            </a:p>
            <a:p>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𝑜𝑓𝑓𝑠𝑒𝑡</m:t>
                      </m:r>
                    </m:sub>
                  </m:sSub>
                </m:oMath>
              </a14:m>
              <a:r>
                <a:rPr lang="en-US" sz="1100">
                  <a:solidFill>
                    <a:schemeClr val="tx1"/>
                  </a:solidFill>
                  <a:effectLst/>
                  <a:latin typeface="+mn-lt"/>
                  <a:ea typeface="+mn-ea"/>
                  <a:cs typeface="+mn-cs"/>
                </a:rPr>
                <a:t> = is the travel time flow in the Cape Fear River takes in hours to pass from the W.O. Huske Dam to the Tar Heel Ferry Road Bridge based on the measured flow in the Cape Fear River at the W.O. Huske Dam;</a:t>
              </a:r>
            </a:p>
            <a:p>
              <a14:m>
                <m:oMath xmlns:m="http://schemas.openxmlformats.org/officeDocument/2006/math">
                  <m:sSubSup>
                    <m:sSubSupPr>
                      <m:ctrlPr>
                        <a:rPr lang="en-US" sz="1100" i="1">
                          <a:solidFill>
                            <a:schemeClr val="tx1"/>
                          </a:solidFill>
                          <a:effectLst/>
                          <a:latin typeface="Cambria Math" panose="02040503050406030204" pitchFamily="18" charset="0"/>
                          <a:ea typeface="+mn-ea"/>
                          <a:cs typeface="+mn-cs"/>
                        </a:rPr>
                      </m:ctrlPr>
                    </m:sSubSupPr>
                    <m:e>
                      <m:r>
                        <a:rPr lang="en-US" sz="1100" i="1">
                          <a:solidFill>
                            <a:schemeClr val="tx1"/>
                          </a:solidFill>
                          <a:effectLst/>
                          <a:latin typeface="Cambria Math" panose="02040503050406030204" pitchFamily="18" charset="0"/>
                          <a:ea typeface="+mn-ea"/>
                          <a:cs typeface="+mn-cs"/>
                        </a:rPr>
                        <m:t>𝑄</m:t>
                      </m:r>
                    </m:e>
                    <m:sub>
                      <m:r>
                        <a:rPr lang="en-US" sz="1100" i="1">
                          <a:solidFill>
                            <a:schemeClr val="tx1"/>
                          </a:solidFill>
                          <a:effectLst/>
                          <a:latin typeface="Cambria Math" panose="02040503050406030204" pitchFamily="18" charset="0"/>
                          <a:ea typeface="+mn-ea"/>
                          <a:cs typeface="+mn-cs"/>
                        </a:rPr>
                        <m:t>𝐶𝐹𝑅</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𝑊𝑂𝐻𝐷</m:t>
                      </m:r>
                    </m:sub>
                    <m:sup>
                      <m:r>
                        <a:rPr lang="en-US" sz="1100" i="1">
                          <a:solidFill>
                            <a:schemeClr val="tx1"/>
                          </a:solidFill>
                          <a:effectLst/>
                          <a:latin typeface="Cambria Math" panose="02040503050406030204" pitchFamily="18" charset="0"/>
                          <a:ea typeface="+mn-ea"/>
                          <a:cs typeface="+mn-cs"/>
                        </a:rPr>
                        <m:t>−1</m:t>
                      </m:r>
                    </m:sup>
                  </m:sSubSup>
                  <m:r>
                    <a:rPr lang="en-US" sz="1100" i="1">
                      <a:solidFill>
                        <a:schemeClr val="tx1"/>
                      </a:solidFill>
                      <a:effectLst/>
                      <a:latin typeface="Cambria Math" panose="02040503050406030204" pitchFamily="18" charset="0"/>
                      <a:ea typeface="+mn-ea"/>
                      <a:cs typeface="+mn-cs"/>
                    </a:rPr>
                    <m:t> </m:t>
                  </m:r>
                </m:oMath>
              </a14:m>
              <a:r>
                <a:rPr lang="en-US" sz="1100">
                  <a:solidFill>
                    <a:schemeClr val="tx1"/>
                  </a:solidFill>
                  <a:effectLst/>
                  <a:latin typeface="+mn-lt"/>
                  <a:ea typeface="+mn-ea"/>
                  <a:cs typeface="+mn-cs"/>
                </a:rPr>
                <a:t> = is the inverse of the measured flow rate of the Cape Fear River at W.O. Huske Dam for a given point in time in cubic feet per second; and</a:t>
              </a:r>
              <a14:m>
                <m:oMath xmlns:m="http://schemas.openxmlformats.org/officeDocument/2006/math">
                  <m:r>
                    <a:rPr lang="en-US" sz="1100" b="0" i="0">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13,422 </m:t>
                  </m:r>
                  <m:r>
                    <a:rPr lang="en-US" sz="1100" i="1">
                      <a:solidFill>
                        <a:schemeClr val="tx1"/>
                      </a:solidFill>
                      <a:effectLst/>
                      <a:latin typeface="Cambria Math" panose="02040503050406030204" pitchFamily="18" charset="0"/>
                      <a:ea typeface="+mn-ea"/>
                      <a:cs typeface="+mn-cs"/>
                    </a:rPr>
                    <m:t>𝑎𝑛𝑑</m:t>
                  </m:r>
                  <m:r>
                    <a:rPr lang="en-US" sz="1100" i="1">
                      <a:solidFill>
                        <a:schemeClr val="tx1"/>
                      </a:solidFill>
                      <a:effectLst/>
                      <a:latin typeface="Cambria Math" panose="02040503050406030204" pitchFamily="18" charset="0"/>
                      <a:ea typeface="+mn-ea"/>
                      <a:cs typeface="+mn-cs"/>
                    </a:rPr>
                    <m:t> 2.019 </m:t>
                  </m:r>
                </m:oMath>
              </a14:m>
              <a:r>
                <a:rPr lang="en-US" sz="1100">
                  <a:solidFill>
                    <a:schemeClr val="tx1"/>
                  </a:solidFill>
                  <a:effectLst/>
                  <a:latin typeface="+mn-lt"/>
                  <a:ea typeface="+mn-ea"/>
                  <a:cs typeface="+mn-cs"/>
                </a:rPr>
                <a:t> are the slope and intercept of the regression curve, respectively.</a:t>
              </a:r>
            </a:p>
            <a:p>
              <a:r>
                <a:rPr lang="en-US" sz="110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tx1"/>
                  </a:solidFill>
                  <a:effectLst/>
                  <a:latin typeface="+mn-lt"/>
                  <a:ea typeface="+mn-ea"/>
                  <a:cs typeface="+mn-cs"/>
                </a:rPr>
                <a:t>Equation 4: Travel time offset W.O. Huske Dam to Bladen Bluff</a:t>
              </a:r>
            </a:p>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𝑜𝑓𝑓𝑠𝑒𝑡</m:t>
                        </m:r>
                      </m:sub>
                    </m:s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8,826</m:t>
                    </m:r>
                    <m:r>
                      <a:rPr lang="en-US" sz="1100" i="1">
                        <a:solidFill>
                          <a:schemeClr val="tx1"/>
                        </a:solidFill>
                        <a:effectLst/>
                        <a:latin typeface="Cambria Math" panose="02040503050406030204" pitchFamily="18" charset="0"/>
                        <a:ea typeface="+mn-ea"/>
                        <a:cs typeface="+mn-cs"/>
                      </a:rPr>
                      <m:t>∙</m:t>
                    </m:r>
                    <m:sSubSup>
                      <m:sSubSupPr>
                        <m:ctrlPr>
                          <a:rPr lang="en-US" sz="1100" i="1">
                            <a:solidFill>
                              <a:schemeClr val="tx1"/>
                            </a:solidFill>
                            <a:effectLst/>
                            <a:latin typeface="Cambria Math" panose="02040503050406030204" pitchFamily="18" charset="0"/>
                            <a:ea typeface="+mn-ea"/>
                            <a:cs typeface="+mn-cs"/>
                          </a:rPr>
                        </m:ctrlPr>
                      </m:sSubSupPr>
                      <m:e>
                        <m:r>
                          <a:rPr lang="en-US" sz="1100" i="1">
                            <a:solidFill>
                              <a:schemeClr val="tx1"/>
                            </a:solidFill>
                            <a:effectLst/>
                            <a:latin typeface="Cambria Math" panose="02040503050406030204" pitchFamily="18" charset="0"/>
                            <a:ea typeface="+mn-ea"/>
                            <a:cs typeface="+mn-cs"/>
                          </a:rPr>
                          <m:t>𝑄</m:t>
                        </m:r>
                      </m:e>
                      <m:sub>
                        <m:r>
                          <a:rPr lang="en-US" sz="1100" i="1">
                            <a:solidFill>
                              <a:schemeClr val="tx1"/>
                            </a:solidFill>
                            <a:effectLst/>
                            <a:latin typeface="Cambria Math" panose="02040503050406030204" pitchFamily="18" charset="0"/>
                            <a:ea typeface="+mn-ea"/>
                            <a:cs typeface="+mn-cs"/>
                          </a:rPr>
                          <m:t>𝐶𝐹𝑅</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𝑊𝑂𝐻𝐷</m:t>
                        </m:r>
                      </m:sub>
                      <m:sup>
                        <m:r>
                          <a:rPr lang="en-US" sz="1100" i="1">
                            <a:solidFill>
                              <a:schemeClr val="tx1"/>
                            </a:solidFill>
                            <a:effectLst/>
                            <a:latin typeface="Cambria Math" panose="02040503050406030204" pitchFamily="18" charset="0"/>
                            <a:ea typeface="+mn-ea"/>
                            <a:cs typeface="+mn-cs"/>
                          </a:rPr>
                          <m:t>−1</m:t>
                        </m:r>
                      </m:sup>
                    </m:sSubSup>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1.530</m:t>
                    </m:r>
                  </m:oMath>
                </m:oMathPara>
              </a14:m>
              <a:endParaRPr lang="en-US">
                <a:effectLst/>
              </a:endParaRPr>
            </a:p>
            <a:p>
              <a:r>
                <a:rPr lang="en-US" sz="1100">
                  <a:solidFill>
                    <a:schemeClr val="tx1"/>
                  </a:solidFill>
                  <a:effectLst/>
                  <a:latin typeface="+mn-lt"/>
                  <a:ea typeface="+mn-ea"/>
                  <a:cs typeface="+mn-cs"/>
                </a:rPr>
                <a:t>Where</a:t>
              </a:r>
              <a:endParaRPr lang="en-US">
                <a:effectLst/>
              </a:endParaRPr>
            </a:p>
            <a:p>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𝑜𝑓𝑓𝑠𝑒𝑡</m:t>
                      </m:r>
                    </m:sub>
                  </m:sSub>
                </m:oMath>
              </a14:m>
              <a:r>
                <a:rPr lang="en-US" sz="1100">
                  <a:solidFill>
                    <a:schemeClr val="tx1"/>
                  </a:solidFill>
                  <a:effectLst/>
                  <a:latin typeface="+mn-lt"/>
                  <a:ea typeface="+mn-ea"/>
                  <a:cs typeface="+mn-cs"/>
                </a:rPr>
                <a:t> = is the travel time flow in the Cape Fear River takes in hours to pass from the W.O. Huske Dam to Bladen</a:t>
              </a:r>
              <a:r>
                <a:rPr lang="en-US" sz="1100" baseline="0">
                  <a:solidFill>
                    <a:schemeClr val="tx1"/>
                  </a:solidFill>
                  <a:effectLst/>
                  <a:latin typeface="+mn-lt"/>
                  <a:ea typeface="+mn-ea"/>
                  <a:cs typeface="+mn-cs"/>
                </a:rPr>
                <a:t> Bluffs Intake location </a:t>
              </a:r>
              <a:r>
                <a:rPr lang="en-US" sz="1100">
                  <a:solidFill>
                    <a:schemeClr val="tx1"/>
                  </a:solidFill>
                  <a:effectLst/>
                  <a:latin typeface="+mn-lt"/>
                  <a:ea typeface="+mn-ea"/>
                  <a:cs typeface="+mn-cs"/>
                </a:rPr>
                <a:t>based on the measured flow in the Cape Fear River at the W.O. Huske Dam;</a:t>
              </a:r>
              <a:endParaRPr lang="en-US">
                <a:effectLst/>
              </a:endParaRPr>
            </a:p>
            <a:p>
              <a14:m>
                <m:oMath xmlns:m="http://schemas.openxmlformats.org/officeDocument/2006/math">
                  <m:sSubSup>
                    <m:sSubSupPr>
                      <m:ctrlPr>
                        <a:rPr lang="en-US" sz="1100" i="1">
                          <a:solidFill>
                            <a:schemeClr val="tx1"/>
                          </a:solidFill>
                          <a:effectLst/>
                          <a:latin typeface="Cambria Math" panose="02040503050406030204" pitchFamily="18" charset="0"/>
                          <a:ea typeface="+mn-ea"/>
                          <a:cs typeface="+mn-cs"/>
                        </a:rPr>
                      </m:ctrlPr>
                    </m:sSubSupPr>
                    <m:e>
                      <m:r>
                        <a:rPr lang="en-US" sz="1100" i="1">
                          <a:solidFill>
                            <a:schemeClr val="tx1"/>
                          </a:solidFill>
                          <a:effectLst/>
                          <a:latin typeface="Cambria Math" panose="02040503050406030204" pitchFamily="18" charset="0"/>
                          <a:ea typeface="+mn-ea"/>
                          <a:cs typeface="+mn-cs"/>
                        </a:rPr>
                        <m:t>𝑄</m:t>
                      </m:r>
                    </m:e>
                    <m:sub>
                      <m:r>
                        <a:rPr lang="en-US" sz="1100" i="1">
                          <a:solidFill>
                            <a:schemeClr val="tx1"/>
                          </a:solidFill>
                          <a:effectLst/>
                          <a:latin typeface="Cambria Math" panose="02040503050406030204" pitchFamily="18" charset="0"/>
                          <a:ea typeface="+mn-ea"/>
                          <a:cs typeface="+mn-cs"/>
                        </a:rPr>
                        <m:t>𝐶𝐹𝑅</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𝑊𝑂𝐻𝐷</m:t>
                      </m:r>
                    </m:sub>
                    <m:sup>
                      <m:r>
                        <a:rPr lang="en-US" sz="1100" i="1">
                          <a:solidFill>
                            <a:schemeClr val="tx1"/>
                          </a:solidFill>
                          <a:effectLst/>
                          <a:latin typeface="Cambria Math" panose="02040503050406030204" pitchFamily="18" charset="0"/>
                          <a:ea typeface="+mn-ea"/>
                          <a:cs typeface="+mn-cs"/>
                        </a:rPr>
                        <m:t>−1</m:t>
                      </m:r>
                    </m:sup>
                  </m:sSubSup>
                  <m:r>
                    <a:rPr lang="en-US" sz="1100" i="1">
                      <a:solidFill>
                        <a:schemeClr val="tx1"/>
                      </a:solidFill>
                      <a:effectLst/>
                      <a:latin typeface="Cambria Math" panose="02040503050406030204" pitchFamily="18" charset="0"/>
                      <a:ea typeface="+mn-ea"/>
                      <a:cs typeface="+mn-cs"/>
                    </a:rPr>
                    <m:t> </m:t>
                  </m:r>
                </m:oMath>
              </a14:m>
              <a:r>
                <a:rPr lang="en-US" sz="1100">
                  <a:solidFill>
                    <a:schemeClr val="tx1"/>
                  </a:solidFill>
                  <a:effectLst/>
                  <a:latin typeface="+mn-lt"/>
                  <a:ea typeface="+mn-ea"/>
                  <a:cs typeface="+mn-cs"/>
                </a:rPr>
                <a:t> = is the inverse of the measured flow rate of the Cape Fear River at W.O. Huske Dam for a given point in time in cubic feet per second; and</a:t>
              </a:r>
              <a14:m>
                <m:oMath xmlns:m="http://schemas.openxmlformats.org/officeDocument/2006/math">
                  <m:r>
                    <a:rPr lang="en-US" sz="1100" b="0" i="0">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8</m:t>
                  </m:r>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826</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𝑎𝑛𝑑</m:t>
                  </m:r>
                  <m:r>
                    <a:rPr lang="en-US" sz="1100" i="1">
                      <a:solidFill>
                        <a:schemeClr val="tx1"/>
                      </a:solidFill>
                      <a:effectLst/>
                      <a:latin typeface="Cambria Math" panose="02040503050406030204" pitchFamily="18" charset="0"/>
                      <a:ea typeface="+mn-ea"/>
                      <a:cs typeface="+mn-cs"/>
                    </a:rPr>
                    <m:t> 1.530 </m:t>
                  </m:r>
                </m:oMath>
              </a14:m>
              <a:r>
                <a:rPr lang="en-US" sz="1100">
                  <a:solidFill>
                    <a:schemeClr val="tx1"/>
                  </a:solidFill>
                  <a:effectLst/>
                  <a:latin typeface="+mn-lt"/>
                  <a:ea typeface="+mn-ea"/>
                  <a:cs typeface="+mn-cs"/>
                </a:rPr>
                <a:t> are the slope and intercept of the regression curve, respectively.</a:t>
              </a:r>
              <a:endParaRPr lang="en-US">
                <a:effectLst/>
              </a:endParaRPr>
            </a:p>
            <a:p>
              <a:endParaRPr lang="en-US" sz="1100">
                <a:solidFill>
                  <a:schemeClr val="tx1"/>
                </a:solidFill>
                <a:effectLst/>
                <a:latin typeface="+mn-lt"/>
                <a:ea typeface="+mn-ea"/>
                <a:cs typeface="+mn-cs"/>
              </a:endParaRPr>
            </a:p>
            <a:p>
              <a:endParaRPr lang="en-US" sz="1100"/>
            </a:p>
          </xdr:txBody>
        </xdr:sp>
      </mc:Choice>
      <mc:Fallback xmlns="">
        <xdr:sp macro="" textlink="">
          <xdr:nvSpPr>
            <xdr:cNvPr id="2" name="TextBox 1">
              <a:extLst>
                <a:ext uri="{FF2B5EF4-FFF2-40B4-BE49-F238E27FC236}">
                  <a16:creationId xmlns:a16="http://schemas.microsoft.com/office/drawing/2014/main" id="{910A5424-3F77-4E49-83FD-344AA1F5EFCB}"/>
                </a:ext>
              </a:extLst>
            </xdr:cNvPr>
            <xdr:cNvSpPr txBox="1"/>
          </xdr:nvSpPr>
          <xdr:spPr>
            <a:xfrm>
              <a:off x="0" y="8001000"/>
              <a:ext cx="12264571" cy="167643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solidFill>
                    <a:schemeClr val="tx1"/>
                  </a:solidFill>
                  <a:effectLst/>
                  <a:latin typeface="+mn-lt"/>
                  <a:ea typeface="+mn-ea"/>
                  <a:cs typeface="+mn-cs"/>
                </a:rPr>
                <a:t>MASS LOAD CALCULATION</a:t>
              </a:r>
              <a:endParaRPr lang="en-US" sz="1100">
                <a:solidFill>
                  <a:sysClr val="windowText" lastClr="000000"/>
                </a:solidFill>
                <a:effectLst/>
                <a:latin typeface="+mn-lt"/>
                <a:ea typeface="+mn-ea"/>
                <a:cs typeface="+mn-cs"/>
              </a:endParaRPr>
            </a:p>
            <a:p>
              <a:r>
                <a:rPr lang="en-US" sz="1100">
                  <a:solidFill>
                    <a:schemeClr val="tx1"/>
                  </a:solidFill>
                  <a:effectLst/>
                  <a:latin typeface="+mn-lt"/>
                  <a:ea typeface="+mn-ea"/>
                  <a:cs typeface="+mn-cs"/>
                </a:rPr>
                <a:t>The Mass Loading Model estimates the mass discharge of Table 3+ PFAS from nine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potential PFAS transport pathways to the Cape Fear River:</a:t>
              </a:r>
            </a:p>
            <a:p>
              <a:endParaRPr lang="en-US" sz="1100">
                <a:solidFill>
                  <a:schemeClr val="tx1"/>
                </a:solidFill>
                <a:effectLst/>
                <a:latin typeface="+mn-lt"/>
                <a:ea typeface="+mn-ea"/>
                <a:cs typeface="+mn-cs"/>
              </a:endParaRPr>
            </a:p>
            <a:p>
              <a:pPr lvl="0"/>
              <a:r>
                <a:rPr lang="en-US" sz="1100" b="1">
                  <a:solidFill>
                    <a:schemeClr val="tx1"/>
                  </a:solidFill>
                  <a:effectLst/>
                  <a:latin typeface="+mn-lt"/>
                  <a:ea typeface="+mn-ea"/>
                  <a:cs typeface="+mn-cs"/>
                </a:rPr>
                <a:t>Transport Pathway 1</a:t>
              </a:r>
              <a:r>
                <a:rPr lang="en-US" sz="1100">
                  <a:solidFill>
                    <a:schemeClr val="tx1"/>
                  </a:solidFill>
                  <a:effectLst/>
                  <a:latin typeface="+mn-lt"/>
                  <a:ea typeface="+mn-ea"/>
                  <a:cs typeface="+mn-cs"/>
                </a:rPr>
                <a:t>: Upstream Cape Fear River and Groundwater – This pathway is comprised of contributions from non-Chemours related PFAS sources on the Cape Fear River and tributaries upstream of the Site, and upstream offsite groundwater with Table 3+ PFAS present from aerial deposition;</a:t>
              </a:r>
            </a:p>
            <a:p>
              <a:pPr lvl="0"/>
              <a:r>
                <a:rPr lang="en-US" sz="1100" b="1">
                  <a:solidFill>
                    <a:schemeClr val="tx1"/>
                  </a:solidFill>
                  <a:effectLst/>
                  <a:latin typeface="+mn-lt"/>
                  <a:ea typeface="+mn-ea"/>
                  <a:cs typeface="+mn-cs"/>
                </a:rPr>
                <a:t>Transport Pathway 2</a:t>
              </a:r>
              <a:r>
                <a:rPr lang="en-US" sz="1100">
                  <a:solidFill>
                    <a:schemeClr val="tx1"/>
                  </a:solidFill>
                  <a:effectLst/>
                  <a:latin typeface="+mn-lt"/>
                  <a:ea typeface="+mn-ea"/>
                  <a:cs typeface="+mn-cs"/>
                </a:rPr>
                <a:t>: Willis Creek – Groundwater and stormwater discharge and aerial deposition to Willis Creek and then to the Cape Fear River;</a:t>
              </a:r>
            </a:p>
            <a:p>
              <a:pPr lvl="0"/>
              <a:r>
                <a:rPr lang="en-US" sz="1100" b="1">
                  <a:solidFill>
                    <a:schemeClr val="tx1"/>
                  </a:solidFill>
                  <a:effectLst/>
                  <a:latin typeface="+mn-lt"/>
                  <a:ea typeface="+mn-ea"/>
                  <a:cs typeface="+mn-cs"/>
                </a:rPr>
                <a:t>Transport Pathway 3</a:t>
              </a:r>
              <a:r>
                <a:rPr lang="en-US" sz="1100">
                  <a:solidFill>
                    <a:schemeClr val="tx1"/>
                  </a:solidFill>
                  <a:effectLst/>
                  <a:latin typeface="+mn-lt"/>
                  <a:ea typeface="+mn-ea"/>
                  <a:cs typeface="+mn-cs"/>
                </a:rPr>
                <a:t>: Direct aerial deposition of Table 3+ PFAS on the Cape Fear River;</a:t>
              </a:r>
            </a:p>
            <a:p>
              <a:pPr lvl="0"/>
              <a:r>
                <a:rPr lang="en-US" sz="1100" b="1">
                  <a:solidFill>
                    <a:schemeClr val="tx1"/>
                  </a:solidFill>
                  <a:effectLst/>
                  <a:latin typeface="+mn-lt"/>
                  <a:ea typeface="+mn-ea"/>
                  <a:cs typeface="+mn-cs"/>
                </a:rPr>
                <a:t>Transport Pathway 4</a:t>
              </a:r>
              <a:r>
                <a:rPr lang="en-US" sz="1100">
                  <a:solidFill>
                    <a:schemeClr val="tx1"/>
                  </a:solidFill>
                  <a:effectLst/>
                  <a:latin typeface="+mn-lt"/>
                  <a:ea typeface="+mn-ea"/>
                  <a:cs typeface="+mn-cs"/>
                </a:rPr>
                <a:t>: Outfall 002 – Comprised of  (i) water drawn from the Cape Fear River and used as non-contact cooling water, (ii) treated non-Chemours process water and (iii) Site stormwater, which are then discharged through Outfall 002;</a:t>
              </a:r>
            </a:p>
            <a:p>
              <a:pPr lvl="0"/>
              <a:r>
                <a:rPr lang="en-US" sz="1100" b="1">
                  <a:solidFill>
                    <a:schemeClr val="tx1"/>
                  </a:solidFill>
                  <a:effectLst/>
                  <a:latin typeface="+mn-lt"/>
                  <a:ea typeface="+mn-ea"/>
                  <a:cs typeface="+mn-cs"/>
                </a:rPr>
                <a:t>Transport Pathway 5</a:t>
              </a:r>
              <a:r>
                <a:rPr lang="en-US" sz="1100">
                  <a:solidFill>
                    <a:schemeClr val="tx1"/>
                  </a:solidFill>
                  <a:effectLst/>
                  <a:latin typeface="+mn-lt"/>
                  <a:ea typeface="+mn-ea"/>
                  <a:cs typeface="+mn-cs"/>
                </a:rPr>
                <a:t>: Onsite Groundwater – Direct upwelling of onsite groundwater to the Cape Fear River from the Black Creek Aquifer;</a:t>
              </a:r>
            </a:p>
            <a:p>
              <a:pPr lvl="0"/>
              <a:r>
                <a:rPr lang="en-US" sz="1100" b="1">
                  <a:solidFill>
                    <a:schemeClr val="tx1"/>
                  </a:solidFill>
                  <a:effectLst/>
                  <a:latin typeface="+mn-lt"/>
                  <a:ea typeface="+mn-ea"/>
                  <a:cs typeface="+mn-cs"/>
                </a:rPr>
                <a:t>Transport Pathway 6</a:t>
              </a:r>
              <a:r>
                <a:rPr lang="en-US" sz="1100">
                  <a:solidFill>
                    <a:schemeClr val="tx1"/>
                  </a:solidFill>
                  <a:effectLst/>
                  <a:latin typeface="+mn-lt"/>
                  <a:ea typeface="+mn-ea"/>
                  <a:cs typeface="+mn-cs"/>
                </a:rPr>
                <a:t>: Seeps – Onsite groundwater seeps A, B, C and D above the Cape Fear River water level on the bluff face from the facility that discharge into the Cape Fear River;</a:t>
              </a:r>
            </a:p>
            <a:p>
              <a:pPr lvl="0"/>
              <a:r>
                <a:rPr lang="en-US" sz="1100" b="1">
                  <a:solidFill>
                    <a:schemeClr val="tx1"/>
                  </a:solidFill>
                  <a:effectLst/>
                  <a:latin typeface="+mn-lt"/>
                  <a:ea typeface="+mn-ea"/>
                  <a:cs typeface="+mn-cs"/>
                </a:rPr>
                <a:t>Transport Pathway 7</a:t>
              </a:r>
              <a:r>
                <a:rPr lang="en-US" sz="1100">
                  <a:solidFill>
                    <a:schemeClr val="tx1"/>
                  </a:solidFill>
                  <a:effectLst/>
                  <a:latin typeface="+mn-lt"/>
                  <a:ea typeface="+mn-ea"/>
                  <a:cs typeface="+mn-cs"/>
                </a:rPr>
                <a:t>: Old Outfall 002 – Groundwater discharge to Old Outfall 002 and stormwater runoff that flows into the Cape Fear River;</a:t>
              </a:r>
            </a:p>
            <a:p>
              <a:pPr lvl="0"/>
              <a:r>
                <a:rPr lang="en-US" sz="1100" b="1">
                  <a:solidFill>
                    <a:schemeClr val="tx1"/>
                  </a:solidFill>
                  <a:effectLst/>
                  <a:latin typeface="+mn-lt"/>
                  <a:ea typeface="+mn-ea"/>
                  <a:cs typeface="+mn-cs"/>
                </a:rPr>
                <a:t>Transport Pathway 8</a:t>
              </a:r>
              <a:r>
                <a:rPr lang="en-US" sz="1100">
                  <a:solidFill>
                    <a:schemeClr val="tx1"/>
                  </a:solidFill>
                  <a:effectLst/>
                  <a:latin typeface="+mn-lt"/>
                  <a:ea typeface="+mn-ea"/>
                  <a:cs typeface="+mn-cs"/>
                </a:rPr>
                <a:t>: Adjacent and Downstream Offsite Groundwater – Offsite groundwater adjacent and downstream of the Site upwelling to the Cape Fear River; and,</a:t>
              </a:r>
            </a:p>
            <a:p>
              <a:pPr lvl="0"/>
              <a:r>
                <a:rPr lang="en-US" sz="1100" b="1">
                  <a:solidFill>
                    <a:schemeClr val="tx1"/>
                  </a:solidFill>
                  <a:effectLst/>
                  <a:latin typeface="+mn-lt"/>
                  <a:ea typeface="+mn-ea"/>
                  <a:cs typeface="+mn-cs"/>
                </a:rPr>
                <a:t>Transport Pathway 9</a:t>
              </a:r>
              <a:r>
                <a:rPr lang="en-US" sz="1100">
                  <a:solidFill>
                    <a:schemeClr val="tx1"/>
                  </a:solidFill>
                  <a:effectLst/>
                  <a:latin typeface="+mn-lt"/>
                  <a:ea typeface="+mn-ea"/>
                  <a:cs typeface="+mn-cs"/>
                </a:rPr>
                <a:t>: Georgia Branch Creek – Groundwater, stormwater discharge and aerial deposition to Georgia Branch Creek and then to the Cape Fear River.</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Total Table 3+ PFAS mass discharge entering the Cape Fear River is defined in this model as the combined mass per unit time or mass discharge (e.g., mg/s) from the nine potential pathways.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Total Table 3+ PFAS mass load entering the Cape Fear River is calculated </a:t>
              </a:r>
              <a:r>
                <a:rPr lang="en-US" sz="1100" baseline="0">
                  <a:solidFill>
                    <a:sysClr val="windowText" lastClr="000000"/>
                  </a:solidFill>
                  <a:effectLst/>
                  <a:latin typeface="+mn-lt"/>
                  <a:ea typeface="+mn-ea"/>
                  <a:cs typeface="+mn-cs"/>
                </a:rPr>
                <a:t>following Equation 1 below:</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r>
                <a:rPr lang="en-US" sz="1100" b="1" i="1" baseline="0">
                  <a:solidFill>
                    <a:sysClr val="windowText" lastClr="000000"/>
                  </a:solidFill>
                  <a:effectLst/>
                  <a:latin typeface="+mn-lt"/>
                  <a:ea typeface="+mn-ea"/>
                  <a:cs typeface="+mn-cs"/>
                </a:rPr>
                <a:t>Equation 1: Mass load entering the Cape Fear River</a:t>
              </a:r>
              <a:endParaRPr lang="en-US" sz="1100" b="1" i="1">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𝑀𝐷〗_𝐶𝐹𝑅</a:t>
              </a:r>
              <a:r>
                <a:rPr lang="en-US" sz="1100" i="0">
                  <a:solidFill>
                    <a:schemeClr val="tx1"/>
                  </a:solidFill>
                  <a:effectLst/>
                  <a:latin typeface="Cambria Math" panose="02040503050406030204" pitchFamily="18" charset="0"/>
                  <a:ea typeface="+mn-ea"/>
                  <a:cs typeface="+mn-cs"/>
                </a:rPr>
                <a:t>= ∑1_(𝑛=1)^(𝑛=9)▒∑1_(𝑖=1)^(𝑖=𝐼)▒〖〖𝑀</a:t>
              </a:r>
              <a:r>
                <a:rPr lang="en-US" sz="1100" b="0" i="0">
                  <a:solidFill>
                    <a:schemeClr val="tx1"/>
                  </a:solidFill>
                  <a:effectLst/>
                  <a:latin typeface="Cambria Math" panose="02040503050406030204" pitchFamily="18" charset="0"/>
                  <a:ea typeface="+mn-ea"/>
                  <a:cs typeface="+mn-cs"/>
                </a:rPr>
                <a:t>𝐷〗_(</a:t>
              </a:r>
              <a:r>
                <a:rPr lang="en-US" sz="1100" i="0">
                  <a:solidFill>
                    <a:schemeClr val="tx1"/>
                  </a:solidFill>
                  <a:effectLst/>
                  <a:latin typeface="Cambria Math" panose="02040503050406030204" pitchFamily="18" charset="0"/>
                  <a:ea typeface="+mn-ea"/>
                  <a:cs typeface="+mn-cs"/>
                </a:rPr>
                <a:t>𝑛,𝑖)=∑1_(𝑛=1)^(𝑛=9)▒〖∑1_(𝑖=1)^(𝑖=𝐼)▒〖𝐶_(𝑛,𝑖)×𝑄_𝑛  〗   〗〗</a:t>
              </a:r>
              <a:endParaRPr lang="en-US" sz="1100">
                <a:solidFill>
                  <a:schemeClr val="tx1"/>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Where</a:t>
              </a:r>
            </a:p>
            <a:p>
              <a:r>
                <a:rPr lang="en-US" sz="1100" i="1">
                  <a:solidFill>
                    <a:schemeClr val="tx1"/>
                  </a:solidFill>
                  <a:effectLst/>
                  <a:latin typeface="+mn-lt"/>
                  <a:ea typeface="+mn-ea"/>
                  <a:cs typeface="+mn-cs"/>
                </a:rPr>
                <a:t>MD</a:t>
              </a:r>
              <a:r>
                <a:rPr lang="en-US" sz="1100" i="1" baseline="-25000">
                  <a:solidFill>
                    <a:schemeClr val="tx1"/>
                  </a:solidFill>
                  <a:effectLst/>
                  <a:latin typeface="+mn-lt"/>
                  <a:ea typeface="+mn-ea"/>
                  <a:cs typeface="+mn-cs"/>
                </a:rPr>
                <a:t>CFR</a:t>
              </a:r>
              <a:r>
                <a:rPr lang="en-US" sz="1100">
                  <a:solidFill>
                    <a:schemeClr val="tx1"/>
                  </a:solidFill>
                  <a:effectLst/>
                  <a:latin typeface="+mn-lt"/>
                  <a:ea typeface="+mn-ea"/>
                  <a:cs typeface="+mn-cs"/>
                </a:rPr>
                <a:t> = total PFAS mass discharge entering the Cape Fear River measured in mass per unit time [MT</a:t>
              </a:r>
              <a:r>
                <a:rPr lang="en-US" sz="1100" baseline="30000">
                  <a:solidFill>
                    <a:schemeClr val="tx1"/>
                  </a:solidFill>
                  <a:effectLst/>
                  <a:latin typeface="+mn-lt"/>
                  <a:ea typeface="+mn-ea"/>
                  <a:cs typeface="+mn-cs"/>
                </a:rPr>
                <a:t>-1</a:t>
              </a:r>
              <a:r>
                <a:rPr lang="en-US" sz="1100">
                  <a:solidFill>
                    <a:schemeClr val="tx1"/>
                  </a:solidFill>
                  <a:effectLst/>
                  <a:latin typeface="+mn-lt"/>
                  <a:ea typeface="+mn-ea"/>
                  <a:cs typeface="+mn-cs"/>
                </a:rPr>
                <a:t>], typically milligrams per second.</a:t>
              </a:r>
            </a:p>
            <a:p>
              <a:r>
                <a:rPr lang="en-US" sz="1100">
                  <a:solidFill>
                    <a:schemeClr val="tx1"/>
                  </a:solidFill>
                  <a:effectLst/>
                  <a:latin typeface="+mn-lt"/>
                  <a:ea typeface="+mn-ea"/>
                  <a:cs typeface="+mn-cs"/>
                </a:rPr>
                <a:t>n = represents each of the 9 potential PFAS transport pathways listed in Table 14. To facilitate model construction, the Seeps (Transport Pathway 6) were further discretized as Seep A (Transport Pathway 6A), Seep B (Transport Pathway 6B), Seep C (Transport Pathway 6C) and Seep D (Transport Pathway 6D).</a:t>
              </a:r>
            </a:p>
            <a:p>
              <a:r>
                <a:rPr lang="en-US" sz="1100">
                  <a:solidFill>
                    <a:schemeClr val="tx1"/>
                  </a:solidFill>
                  <a:effectLst/>
                  <a:latin typeface="+mn-lt"/>
                  <a:ea typeface="+mn-ea"/>
                  <a:cs typeface="+mn-cs"/>
                </a:rPr>
                <a:t>i = represents each of the Table 3+ SOP PFAS constituents listed in Table 1.</a:t>
              </a:r>
            </a:p>
            <a:p>
              <a:r>
                <a:rPr lang="en-US" sz="1100">
                  <a:solidFill>
                    <a:schemeClr val="tx1"/>
                  </a:solidFill>
                  <a:effectLst/>
                  <a:latin typeface="+mn-lt"/>
                  <a:ea typeface="+mn-ea"/>
                  <a:cs typeface="+mn-cs"/>
                </a:rPr>
                <a:t>I = represents total number of Table 3+ SOP PFAS constituents included in the summation of Total Table 3+ concentrations, e.g., 17 or 20.</a:t>
              </a:r>
            </a:p>
            <a:p>
              <a:r>
                <a:rPr lang="en-US" sz="1100" i="1">
                  <a:solidFill>
                    <a:schemeClr val="tx1"/>
                  </a:solidFill>
                  <a:effectLst/>
                  <a:latin typeface="+mn-lt"/>
                  <a:ea typeface="+mn-ea"/>
                  <a:cs typeface="+mn-cs"/>
                </a:rPr>
                <a:t>MD</a:t>
              </a:r>
              <a:r>
                <a:rPr lang="en-US" sz="1100" i="1" baseline="-25000">
                  <a:solidFill>
                    <a:schemeClr val="tx1"/>
                  </a:solidFill>
                  <a:effectLst/>
                  <a:latin typeface="+mn-lt"/>
                  <a:ea typeface="+mn-ea"/>
                  <a:cs typeface="+mn-cs"/>
                </a:rPr>
                <a:t>n,i</a:t>
              </a:r>
              <a:r>
                <a:rPr lang="en-US" sz="1100">
                  <a:solidFill>
                    <a:schemeClr val="tx1"/>
                  </a:solidFill>
                  <a:effectLst/>
                  <a:latin typeface="+mn-lt"/>
                  <a:ea typeface="+mn-ea"/>
                  <a:cs typeface="+mn-cs"/>
                </a:rPr>
                <a:t> = mass load of each PFAS constituent </a:t>
              </a:r>
              <a:r>
                <a:rPr lang="en-US" sz="1100" i="1">
                  <a:solidFill>
                    <a:schemeClr val="tx1"/>
                  </a:solidFill>
                  <a:effectLst/>
                  <a:latin typeface="+mn-lt"/>
                  <a:ea typeface="+mn-ea"/>
                  <a:cs typeface="+mn-cs"/>
                </a:rPr>
                <a:t>i</a:t>
              </a:r>
              <a:r>
                <a:rPr lang="en-US" sz="1100">
                  <a:solidFill>
                    <a:schemeClr val="tx1"/>
                  </a:solidFill>
                  <a:effectLst/>
                  <a:latin typeface="+mn-lt"/>
                  <a:ea typeface="+mn-ea"/>
                  <a:cs typeface="+mn-cs"/>
                </a:rPr>
                <a:t> from each potential pathway </a:t>
              </a:r>
              <a:r>
                <a:rPr lang="en-US" sz="1100" i="1">
                  <a:solidFill>
                    <a:schemeClr val="tx1"/>
                  </a:solidFill>
                  <a:effectLst/>
                  <a:latin typeface="+mn-lt"/>
                  <a:ea typeface="+mn-ea"/>
                  <a:cs typeface="+mn-cs"/>
                </a:rPr>
                <a:t>n</a:t>
              </a:r>
              <a:r>
                <a:rPr lang="en-US" sz="1100">
                  <a:solidFill>
                    <a:schemeClr val="tx1"/>
                  </a:solidFill>
                  <a:effectLst/>
                  <a:latin typeface="+mn-lt"/>
                  <a:ea typeface="+mn-ea"/>
                  <a:cs typeface="+mn-cs"/>
                </a:rPr>
                <a:t> with measured units in mass per unit time [MT</a:t>
              </a:r>
              <a:r>
                <a:rPr lang="en-US" sz="1100" baseline="30000">
                  <a:solidFill>
                    <a:schemeClr val="tx1"/>
                  </a:solidFill>
                  <a:effectLst/>
                  <a:latin typeface="+mn-lt"/>
                  <a:ea typeface="+mn-ea"/>
                  <a:cs typeface="+mn-cs"/>
                </a:rPr>
                <a:t>-1</a:t>
              </a:r>
              <a:r>
                <a:rPr lang="en-US" sz="1100">
                  <a:solidFill>
                    <a:schemeClr val="tx1"/>
                  </a:solidFill>
                  <a:effectLst/>
                  <a:latin typeface="+mn-lt"/>
                  <a:ea typeface="+mn-ea"/>
                  <a:cs typeface="+mn-cs"/>
                </a:rPr>
                <a:t>], typically nanograms per second.</a:t>
              </a:r>
            </a:p>
            <a:p>
              <a:r>
                <a:rPr lang="en-US" sz="1100" i="1">
                  <a:solidFill>
                    <a:schemeClr val="tx1"/>
                  </a:solidFill>
                  <a:effectLst/>
                  <a:latin typeface="+mn-lt"/>
                  <a:ea typeface="+mn-ea"/>
                  <a:cs typeface="+mn-cs"/>
                </a:rPr>
                <a:t>C</a:t>
              </a:r>
              <a:r>
                <a:rPr lang="en-US" sz="1100" i="1" baseline="-25000">
                  <a:solidFill>
                    <a:schemeClr val="tx1"/>
                  </a:solidFill>
                  <a:effectLst/>
                  <a:latin typeface="+mn-lt"/>
                  <a:ea typeface="+mn-ea"/>
                  <a:cs typeface="+mn-cs"/>
                </a:rPr>
                <a:t>n,i</a:t>
              </a:r>
              <a:r>
                <a:rPr lang="en-US" sz="1100">
                  <a:solidFill>
                    <a:schemeClr val="tx1"/>
                  </a:solidFill>
                  <a:effectLst/>
                  <a:latin typeface="+mn-lt"/>
                  <a:ea typeface="+mn-ea"/>
                  <a:cs typeface="+mn-cs"/>
                </a:rPr>
                <a:t> = concentration of each PFAS constituent </a:t>
              </a:r>
              <a:r>
                <a:rPr lang="en-US" sz="1100" i="1">
                  <a:solidFill>
                    <a:schemeClr val="tx1"/>
                  </a:solidFill>
                  <a:effectLst/>
                  <a:latin typeface="+mn-lt"/>
                  <a:ea typeface="+mn-ea"/>
                  <a:cs typeface="+mn-cs"/>
                </a:rPr>
                <a:t>i</a:t>
              </a:r>
              <a:r>
                <a:rPr lang="en-US" sz="1100">
                  <a:solidFill>
                    <a:schemeClr val="tx1"/>
                  </a:solidFill>
                  <a:effectLst/>
                  <a:latin typeface="+mn-lt"/>
                  <a:ea typeface="+mn-ea"/>
                  <a:cs typeface="+mn-cs"/>
                </a:rPr>
                <a:t> from each potential pathway </a:t>
              </a:r>
              <a:r>
                <a:rPr lang="en-US" sz="1100" i="1">
                  <a:solidFill>
                    <a:schemeClr val="tx1"/>
                  </a:solidFill>
                  <a:effectLst/>
                  <a:latin typeface="+mn-lt"/>
                  <a:ea typeface="+mn-ea"/>
                  <a:cs typeface="+mn-cs"/>
                </a:rPr>
                <a:t>n</a:t>
              </a:r>
              <a:r>
                <a:rPr lang="en-US" sz="1100">
                  <a:solidFill>
                    <a:schemeClr val="tx1"/>
                  </a:solidFill>
                  <a:effectLst/>
                  <a:latin typeface="+mn-lt"/>
                  <a:ea typeface="+mn-ea"/>
                  <a:cs typeface="+mn-cs"/>
                </a:rPr>
                <a:t> with measured units in mass per unit volume [ML</a:t>
              </a:r>
              <a:r>
                <a:rPr lang="en-US" sz="1100" baseline="30000">
                  <a:solidFill>
                    <a:schemeClr val="tx1"/>
                  </a:solidFill>
                  <a:effectLst/>
                  <a:latin typeface="+mn-lt"/>
                  <a:ea typeface="+mn-ea"/>
                  <a:cs typeface="+mn-cs"/>
                </a:rPr>
                <a:t>-3</a:t>
              </a:r>
              <a:r>
                <a:rPr lang="en-US" sz="1100">
                  <a:solidFill>
                    <a:schemeClr val="tx1"/>
                  </a:solidFill>
                  <a:effectLst/>
                  <a:latin typeface="+mn-lt"/>
                  <a:ea typeface="+mn-ea"/>
                  <a:cs typeface="+mn-cs"/>
                </a:rPr>
                <a:t>], typically nanograms per liter. </a:t>
              </a:r>
            </a:p>
            <a:p>
              <a:r>
                <a:rPr lang="en-US" sz="1100" i="1">
                  <a:solidFill>
                    <a:schemeClr val="tx1"/>
                  </a:solidFill>
                  <a:effectLst/>
                  <a:latin typeface="+mn-lt"/>
                  <a:ea typeface="+mn-ea"/>
                  <a:cs typeface="+mn-cs"/>
                </a:rPr>
                <a:t>Q</a:t>
              </a:r>
              <a:r>
                <a:rPr lang="en-US" sz="1100" i="1" baseline="-25000">
                  <a:solidFill>
                    <a:schemeClr val="tx1"/>
                  </a:solidFill>
                  <a:effectLst/>
                  <a:latin typeface="+mn-lt"/>
                  <a:ea typeface="+mn-ea"/>
                  <a:cs typeface="+mn-cs"/>
                </a:rPr>
                <a:t>n</a:t>
              </a:r>
              <a:r>
                <a:rPr lang="en-US" sz="1100">
                  <a:solidFill>
                    <a:schemeClr val="tx1"/>
                  </a:solidFill>
                  <a:effectLst/>
                  <a:latin typeface="+mn-lt"/>
                  <a:ea typeface="+mn-ea"/>
                  <a:cs typeface="+mn-cs"/>
                </a:rPr>
                <a:t> = volumetric flow rate from each potential pathway </a:t>
              </a:r>
              <a:r>
                <a:rPr lang="en-US" sz="1100" i="1">
                  <a:solidFill>
                    <a:schemeClr val="tx1"/>
                  </a:solidFill>
                  <a:effectLst/>
                  <a:latin typeface="+mn-lt"/>
                  <a:ea typeface="+mn-ea"/>
                  <a:cs typeface="+mn-cs"/>
                </a:rPr>
                <a:t>n</a:t>
              </a:r>
              <a:r>
                <a:rPr lang="en-US" sz="1100">
                  <a:solidFill>
                    <a:schemeClr val="tx1"/>
                  </a:solidFill>
                  <a:effectLst/>
                  <a:latin typeface="+mn-lt"/>
                  <a:ea typeface="+mn-ea"/>
                  <a:cs typeface="+mn-cs"/>
                </a:rPr>
                <a:t> with measured units in volume per time [L</a:t>
              </a:r>
              <a:r>
                <a:rPr lang="en-US" sz="1100" baseline="30000">
                  <a:solidFill>
                    <a:schemeClr val="tx1"/>
                  </a:solidFill>
                  <a:effectLst/>
                  <a:latin typeface="+mn-lt"/>
                  <a:ea typeface="+mn-ea"/>
                  <a:cs typeface="+mn-cs"/>
                </a:rPr>
                <a:t>3</a:t>
              </a:r>
              <a:r>
                <a:rPr lang="en-US" sz="1100">
                  <a:solidFill>
                    <a:schemeClr val="tx1"/>
                  </a:solidFill>
                  <a:effectLst/>
                  <a:latin typeface="+mn-lt"/>
                  <a:ea typeface="+mn-ea"/>
                  <a:cs typeface="+mn-cs"/>
                </a:rPr>
                <a:t>T</a:t>
              </a:r>
              <a:r>
                <a:rPr lang="en-US" sz="1100" baseline="30000">
                  <a:solidFill>
                    <a:schemeClr val="tx1"/>
                  </a:solidFill>
                  <a:effectLst/>
                  <a:latin typeface="+mn-lt"/>
                  <a:ea typeface="+mn-ea"/>
                  <a:cs typeface="+mn-cs"/>
                </a:rPr>
                <a:t>-1</a:t>
              </a:r>
              <a:r>
                <a:rPr lang="en-US" sz="1100">
                  <a:solidFill>
                    <a:schemeClr val="tx1"/>
                  </a:solidFill>
                  <a:effectLst/>
                  <a:latin typeface="+mn-lt"/>
                  <a:ea typeface="+mn-ea"/>
                  <a:cs typeface="+mn-cs"/>
                </a:rPr>
                <a:t>], typically liters per second. </a:t>
              </a:r>
            </a:p>
            <a:p>
              <a:endParaRPr lang="en-US" sz="1100">
                <a:solidFill>
                  <a:schemeClr val="tx1"/>
                </a:solidFill>
                <a:effectLst/>
                <a:latin typeface="+mn-lt"/>
                <a:ea typeface="+mn-ea"/>
                <a:cs typeface="+mn-cs"/>
              </a:endParaRPr>
            </a:p>
            <a:p>
              <a:r>
                <a:rPr lang="en-US" sz="1100" b="1" i="1">
                  <a:solidFill>
                    <a:sysClr val="windowText" lastClr="000000"/>
                  </a:solidFill>
                  <a:effectLst/>
                  <a:latin typeface="+mn-lt"/>
                  <a:ea typeface="+mn-ea"/>
                  <a:cs typeface="+mn-cs"/>
                </a:rPr>
                <a:t>Equation 2: Mass Discharge from</a:t>
              </a:r>
              <a:r>
                <a:rPr lang="en-US" sz="1100" b="1" i="1" baseline="0">
                  <a:solidFill>
                    <a:sysClr val="windowText" lastClr="000000"/>
                  </a:solidFill>
                  <a:effectLst/>
                  <a:latin typeface="+mn-lt"/>
                  <a:ea typeface="+mn-ea"/>
                  <a:cs typeface="+mn-cs"/>
                </a:rPr>
                <a:t> Aerial Deposition</a:t>
              </a: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panose="02040503050406030204" pitchFamily="18" charset="0"/>
                  <a:ea typeface="+mn-ea"/>
                  <a:cs typeface="+mn-cs"/>
                </a:rPr>
                <a:t>𝑀_(𝑇𝑇3+)</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Σ𝑀_(𝐻𝐹𝑃𝑂−𝐷𝐴)×𝑅</a:t>
              </a:r>
              <a:endParaRPr lang="en-US" sz="1100" b="0" i="1">
                <a:solidFill>
                  <a:schemeClr val="tx1"/>
                </a:solidFill>
                <a:effectLst/>
                <a:latin typeface="Cambria Math" panose="02040503050406030204" pitchFamily="18"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ea typeface="+mn-ea"/>
                  <a:cs typeface="+mn-cs"/>
                </a:rPr>
                <a:t>                         </a:t>
              </a:r>
              <a:r>
                <a:rPr lang="en-US" sz="1100" b="0" i="0">
                  <a:solidFill>
                    <a:schemeClr val="tx1"/>
                  </a:solidFill>
                  <a:effectLst/>
                  <a:latin typeface="Cambria Math" panose="02040503050406030204" pitchFamily="18" charset="0"/>
                  <a:ea typeface="+mn-ea"/>
                  <a:cs typeface="+mn-cs"/>
                </a:rPr>
                <a:t>      =Σ(𝐷_𝑎𝑣𝑔×𝐴_𝑟𝑖𝑣𝑒𝑟×𝑡)×𝑅</a:t>
              </a:r>
              <a:endParaRPr lang="en-US">
                <a:effectLst/>
              </a:endParaRPr>
            </a:p>
            <a:p>
              <a:r>
                <a:rPr lang="en-US" sz="1100">
                  <a:solidFill>
                    <a:schemeClr val="tx1"/>
                  </a:solidFill>
                  <a:effectLst/>
                  <a:latin typeface="+mn-lt"/>
                  <a:ea typeface="+mn-ea"/>
                  <a:cs typeface="+mn-cs"/>
                </a:rPr>
                <a:t>Where</a:t>
              </a:r>
            </a:p>
            <a:p>
              <a:r>
                <a:rPr lang="en-US" sz="1100">
                  <a:solidFill>
                    <a:schemeClr val="tx1"/>
                  </a:solidFill>
                  <a:effectLst/>
                  <a:latin typeface="+mn-lt"/>
                  <a:ea typeface="+mn-ea"/>
                  <a:cs typeface="+mn-cs"/>
                </a:rPr>
                <a:t>M</a:t>
              </a:r>
              <a:r>
                <a:rPr lang="en-US" sz="1100" baseline="-25000">
                  <a:solidFill>
                    <a:schemeClr val="tx1"/>
                  </a:solidFill>
                  <a:effectLst/>
                  <a:latin typeface="+mn-lt"/>
                  <a:ea typeface="+mn-ea"/>
                  <a:cs typeface="+mn-cs"/>
                </a:rPr>
                <a:t>TT3+</a:t>
              </a:r>
              <a:r>
                <a:rPr lang="en-US" sz="1100" baseline="0">
                  <a:solidFill>
                    <a:schemeClr val="tx1"/>
                  </a:solidFill>
                  <a:effectLst/>
                  <a:latin typeface="+mn-lt"/>
                  <a:ea typeface="+mn-ea"/>
                  <a:cs typeface="+mn-cs"/>
                </a:rPr>
                <a:t> = mass discharge of Total Table 3+ PFAS compounds into the river in millligrams per second.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a:t>
              </a:r>
              <a:r>
                <a:rPr lang="en-US" sz="1100" baseline="-25000">
                  <a:solidFill>
                    <a:schemeClr val="tx1"/>
                  </a:solidFill>
                  <a:effectLst/>
                  <a:latin typeface="+mn-lt"/>
                  <a:ea typeface="+mn-ea"/>
                  <a:cs typeface="+mn-cs"/>
                </a:rPr>
                <a:t>HFPO-DA</a:t>
              </a:r>
              <a:r>
                <a:rPr lang="en-US" sz="1100" baseline="0">
                  <a:solidFill>
                    <a:schemeClr val="tx1"/>
                  </a:solidFill>
                  <a:effectLst/>
                  <a:latin typeface="+mn-lt"/>
                  <a:ea typeface="+mn-ea"/>
                  <a:cs typeface="+mn-cs"/>
                </a:rPr>
                <a:t> = mass discharge of HFPO-DA into the river in millligrams per second.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R = average ratio of measured HFPO-DA to Total Table 3+ compounds across the nine offsite seeps.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D</a:t>
              </a:r>
              <a:r>
                <a:rPr lang="en-US" sz="1100" baseline="-25000">
                  <a:solidFill>
                    <a:schemeClr val="tx1"/>
                  </a:solidFill>
                  <a:effectLst/>
                  <a:latin typeface="+mn-lt"/>
                  <a:ea typeface="+mn-ea"/>
                  <a:cs typeface="+mn-cs"/>
                </a:rPr>
                <a:t>avg</a:t>
              </a:r>
              <a:r>
                <a:rPr lang="en-US" sz="1100" baseline="0">
                  <a:solidFill>
                    <a:schemeClr val="tx1"/>
                  </a:solidFill>
                  <a:effectLst/>
                  <a:latin typeface="+mn-lt"/>
                  <a:ea typeface="+mn-ea"/>
                  <a:cs typeface="+mn-cs"/>
                </a:rPr>
                <a:t> = average deposition rate based on the ERM model (2018).</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A = spatial area over which deposition occurs.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 = travel time through the river section length. </a:t>
              </a:r>
              <a:endParaRPr lang="en-US" sz="1100">
                <a:solidFill>
                  <a:schemeClr val="tx1"/>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a:solidFill>
                    <a:sysClr val="windowText" lastClr="000000"/>
                  </a:solidFill>
                </a:rPr>
                <a:t>The mass discharge from the</a:t>
              </a:r>
              <a:r>
                <a:rPr lang="en-US" sz="1100" baseline="0">
                  <a:solidFill>
                    <a:sysClr val="windowText" lastClr="000000"/>
                  </a:solidFill>
                </a:rPr>
                <a:t> onsite groundwater is calculated for 8 segments of the Black Creek Aquifer along the Cape Fear River frontage using hydraulic conductivity and hydraulic gradient.</a:t>
              </a:r>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baseline="0">
                  <a:solidFill>
                    <a:sysClr val="windowText" lastClr="000000"/>
                  </a:solidFill>
                  <a:effectLst/>
                  <a:latin typeface="+mn-lt"/>
                  <a:ea typeface="+mn-ea"/>
                  <a:cs typeface="+mn-cs"/>
                </a:rPr>
                <a:t>Equation 2: Onsite Groundwater mass flux</a:t>
              </a:r>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ysClr val="windowText" lastClr="000000"/>
                  </a:solidFill>
                  <a:effectLst/>
                  <a:latin typeface="Cambria Math" panose="02040503050406030204" pitchFamily="18" charset="0"/>
                  <a:ea typeface="+mn-ea"/>
                  <a:cs typeface="+mn-cs"/>
                </a:rPr>
                <a:t>𝑄=𝑙ℎ𝐾𝑖𝐶𝑓</a:t>
              </a:r>
              <a:endParaRPr lang="en-US" sz="1100">
                <a:solidFill>
                  <a:sysClr val="windowText" lastClr="000000"/>
                </a:solidFill>
                <a:effectLst/>
                <a:latin typeface="+mn-lt"/>
                <a:ea typeface="+mn-ea"/>
                <a:cs typeface="+mn-cs"/>
              </a:endParaRPr>
            </a:p>
            <a:p>
              <a:r>
                <a:rPr lang="en-US" sz="1100">
                  <a:solidFill>
                    <a:sysClr val="windowText" lastClr="000000"/>
                  </a:solidFill>
                </a:rPr>
                <a:t>Where</a:t>
              </a:r>
            </a:p>
            <a:p>
              <a:r>
                <a:rPr lang="en-US" sz="1100" i="1">
                  <a:solidFill>
                    <a:sysClr val="windowText" lastClr="000000"/>
                  </a:solidFill>
                  <a:effectLst/>
                  <a:latin typeface="+mn-lt"/>
                  <a:ea typeface="+mn-ea"/>
                  <a:cs typeface="+mn-cs"/>
                </a:rPr>
                <a:t>Q</a:t>
              </a:r>
              <a:r>
                <a:rPr lang="en-US" sz="1100">
                  <a:solidFill>
                    <a:sysClr val="windowText" lastClr="000000"/>
                  </a:solidFill>
                  <a:effectLst/>
                  <a:latin typeface="+mn-lt"/>
                  <a:ea typeface="+mn-ea"/>
                  <a:cs typeface="+mn-cs"/>
                </a:rPr>
                <a:t> is the mass flux; </a:t>
              </a:r>
            </a:p>
            <a:p>
              <a:r>
                <a:rPr lang="en-US" sz="1100" i="1">
                  <a:solidFill>
                    <a:sysClr val="windowText" lastClr="000000"/>
                  </a:solidFill>
                  <a:effectLst/>
                  <a:latin typeface="+mn-lt"/>
                  <a:ea typeface="+mn-ea"/>
                  <a:cs typeface="+mn-cs"/>
                </a:rPr>
                <a:t>l</a:t>
              </a:r>
              <a:r>
                <a:rPr lang="en-US" sz="1100">
                  <a:solidFill>
                    <a:sysClr val="windowText" lastClr="000000"/>
                  </a:solidFill>
                  <a:effectLst/>
                  <a:latin typeface="+mn-lt"/>
                  <a:ea typeface="+mn-ea"/>
                  <a:cs typeface="+mn-cs"/>
                </a:rPr>
                <a:t> is the segment length;</a:t>
              </a:r>
            </a:p>
            <a:p>
              <a:r>
                <a:rPr lang="en-US" sz="1100" i="1">
                  <a:solidFill>
                    <a:sysClr val="windowText" lastClr="000000"/>
                  </a:solidFill>
                  <a:effectLst/>
                  <a:latin typeface="+mn-lt"/>
                  <a:ea typeface="+mn-ea"/>
                  <a:cs typeface="+mn-cs"/>
                </a:rPr>
                <a:t>h</a:t>
              </a:r>
              <a:r>
                <a:rPr lang="en-US" sz="1100">
                  <a:solidFill>
                    <a:sysClr val="windowText" lastClr="000000"/>
                  </a:solidFill>
                  <a:effectLst/>
                  <a:latin typeface="+mn-lt"/>
                  <a:ea typeface="+mn-ea"/>
                  <a:cs typeface="+mn-cs"/>
                </a:rPr>
                <a:t> is the Black Creek Aquifer thickness, derived</a:t>
              </a:r>
              <a:r>
                <a:rPr lang="en-US" sz="1100" baseline="0">
                  <a:solidFill>
                    <a:sysClr val="windowText" lastClr="000000"/>
                  </a:solidFill>
                  <a:effectLst/>
                  <a:latin typeface="+mn-lt"/>
                  <a:ea typeface="+mn-ea"/>
                  <a:cs typeface="+mn-cs"/>
                </a:rPr>
                <a:t> based on the cross sectional area of the Black Creek Aquifer and length of each segment</a:t>
              </a:r>
              <a:r>
                <a:rPr lang="en-US" sz="1100">
                  <a:solidFill>
                    <a:sysClr val="windowText" lastClr="000000"/>
                  </a:solidFill>
                  <a:effectLst/>
                  <a:latin typeface="+mn-lt"/>
                  <a:ea typeface="+mn-ea"/>
                  <a:cs typeface="+mn-cs"/>
                </a:rPr>
                <a:t>;</a:t>
              </a:r>
            </a:p>
            <a:p>
              <a:r>
                <a:rPr lang="en-US" sz="1100" i="1">
                  <a:solidFill>
                    <a:sysClr val="windowText" lastClr="000000"/>
                  </a:solidFill>
                  <a:effectLst/>
                  <a:latin typeface="+mn-lt"/>
                  <a:ea typeface="+mn-ea"/>
                  <a:cs typeface="+mn-cs"/>
                </a:rPr>
                <a:t>K</a:t>
              </a:r>
              <a:r>
                <a:rPr lang="en-US" sz="1100">
                  <a:solidFill>
                    <a:sysClr val="windowText" lastClr="000000"/>
                  </a:solidFill>
                  <a:effectLst/>
                  <a:latin typeface="+mn-lt"/>
                  <a:ea typeface="+mn-ea"/>
                  <a:cs typeface="+mn-cs"/>
                </a:rPr>
                <a:t> is the hydraulic conductivity of the aquifer, determined</a:t>
              </a:r>
              <a:r>
                <a:rPr lang="en-US" sz="1100" baseline="0">
                  <a:solidFill>
                    <a:sysClr val="windowText" lastClr="000000"/>
                  </a:solidFill>
                  <a:effectLst/>
                  <a:latin typeface="+mn-lt"/>
                  <a:ea typeface="+mn-ea"/>
                  <a:cs typeface="+mn-cs"/>
                </a:rPr>
                <a:t> based on slug test results</a:t>
              </a:r>
              <a:r>
                <a:rPr lang="en-US" sz="1100">
                  <a:solidFill>
                    <a:sysClr val="windowText" lastClr="000000"/>
                  </a:solidFill>
                  <a:effectLst/>
                  <a:latin typeface="+mn-lt"/>
                  <a:ea typeface="+mn-ea"/>
                  <a:cs typeface="+mn-cs"/>
                </a:rPr>
                <a:t>; </a:t>
              </a:r>
            </a:p>
            <a:p>
              <a:r>
                <a:rPr lang="en-US" sz="1100" i="1">
                  <a:solidFill>
                    <a:sysClr val="windowText" lastClr="000000"/>
                  </a:solidFill>
                  <a:effectLst/>
                  <a:latin typeface="+mn-lt"/>
                  <a:ea typeface="+mn-ea"/>
                  <a:cs typeface="+mn-cs"/>
                </a:rPr>
                <a:t>i</a:t>
              </a:r>
              <a:r>
                <a:rPr lang="en-US" sz="1100">
                  <a:solidFill>
                    <a:sysClr val="windowText" lastClr="000000"/>
                  </a:solidFill>
                  <a:effectLst/>
                  <a:latin typeface="+mn-lt"/>
                  <a:ea typeface="+mn-ea"/>
                  <a:cs typeface="+mn-cs"/>
                </a:rPr>
                <a:t> is the hydraulic gradient, derived based on the distance</a:t>
              </a:r>
              <a:r>
                <a:rPr lang="en-US" sz="1100" baseline="0">
                  <a:solidFill>
                    <a:sysClr val="windowText" lastClr="000000"/>
                  </a:solidFill>
                  <a:effectLst/>
                  <a:latin typeface="+mn-lt"/>
                  <a:ea typeface="+mn-ea"/>
                  <a:cs typeface="+mn-cs"/>
                </a:rPr>
                <a:t> between groundwater level comtours in the vicinity of the river frontage</a:t>
              </a:r>
              <a:r>
                <a:rPr lang="en-US" sz="1100">
                  <a:solidFill>
                    <a:sysClr val="windowText" lastClr="000000"/>
                  </a:solidFill>
                  <a:effectLst/>
                  <a:latin typeface="+mn-lt"/>
                  <a:ea typeface="+mn-ea"/>
                  <a:cs typeface="+mn-cs"/>
                </a:rPr>
                <a:t>; and</a:t>
              </a:r>
            </a:p>
            <a:p>
              <a:r>
                <a:rPr lang="en-US" sz="1100" i="1">
                  <a:solidFill>
                    <a:sysClr val="windowText" lastClr="000000"/>
                  </a:solidFill>
                  <a:effectLst/>
                  <a:latin typeface="+mn-lt"/>
                  <a:ea typeface="+mn-ea"/>
                  <a:cs typeface="+mn-cs"/>
                </a:rPr>
                <a:t>C</a:t>
              </a:r>
              <a:r>
                <a:rPr lang="en-US" sz="1100">
                  <a:solidFill>
                    <a:sysClr val="windowText" lastClr="000000"/>
                  </a:solidFill>
                  <a:effectLst/>
                  <a:latin typeface="+mn-lt"/>
                  <a:ea typeface="+mn-ea"/>
                  <a:cs typeface="+mn-cs"/>
                </a:rPr>
                <a:t> is the total Table 3+ concentration.</a:t>
              </a:r>
            </a:p>
            <a:p>
              <a:endParaRPr lang="en-US" sz="1100">
                <a:solidFill>
                  <a:sysClr val="windowText" lastClr="000000"/>
                </a:solidFill>
                <a:effectLst/>
                <a:latin typeface="+mn-lt"/>
                <a:ea typeface="+mn-ea"/>
                <a:cs typeface="+mn-cs"/>
              </a:endParaRPr>
            </a:p>
            <a:p>
              <a:r>
                <a:rPr lang="en-US" sz="1100">
                  <a:solidFill>
                    <a:sysClr val="windowText" lastClr="000000"/>
                  </a:solidFill>
                </a:rPr>
                <a:t>To calculate the mass discharge from the upstream</a:t>
              </a:r>
              <a:r>
                <a:rPr lang="en-US" sz="1100" baseline="0">
                  <a:solidFill>
                    <a:sysClr val="windowText" lastClr="000000"/>
                  </a:solidFill>
                </a:rPr>
                <a:t> river and groundwater, it was necessary to estimate flow in the Cape Fear River directly upstream of the Facility at River Mile 76. This calculation was done by subtracting inflows from Willis Creek, Outfall 002, upwelling onsite groundwater, and seeps to the river, and by adding the river water intake from Chemours to the flow rate measurement from the W.O.Huske Dam.</a:t>
              </a:r>
            </a:p>
            <a:p>
              <a:r>
                <a:rPr lang="en-US" sz="1100" b="1" i="1" u="none" baseline="0">
                  <a:solidFill>
                    <a:sysClr val="windowText" lastClr="000000"/>
                  </a:solidFill>
                </a:rPr>
                <a:t>Equation 3: Flow at Upstream Cape Fear River and Groundwater</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ysClr val="windowText" lastClr="000000"/>
                  </a:solidFill>
                  <a:effectLst/>
                  <a:latin typeface="Cambria Math" panose="02040503050406030204" pitchFamily="18" charset="0"/>
                  <a:ea typeface="+mn-ea"/>
                  <a:cs typeface="+mn-cs"/>
                </a:rPr>
                <a:t>𝑄_𝑈𝑝𝑠𝑡𝑟𝑒𝑎𝑚</a:t>
              </a:r>
              <a:r>
                <a:rPr lang="en-US" sz="1100" i="0">
                  <a:solidFill>
                    <a:sysClr val="windowText" lastClr="000000"/>
                  </a:solidFill>
                  <a:effectLst/>
                  <a:latin typeface="Cambria Math" panose="02040503050406030204" pitchFamily="18" charset="0"/>
                  <a:ea typeface="+mn-ea"/>
                  <a:cs typeface="+mn-cs"/>
                </a:rPr>
                <a:t>=</a:t>
              </a:r>
              <a:r>
                <a:rPr lang="en-US" sz="1100" b="0" i="0">
                  <a:solidFill>
                    <a:sysClr val="windowText" lastClr="000000"/>
                  </a:solidFill>
                  <a:effectLst/>
                  <a:latin typeface="Cambria Math" panose="02040503050406030204" pitchFamily="18" charset="0"/>
                  <a:ea typeface="+mn-ea"/>
                  <a:cs typeface="+mn-cs"/>
                </a:rPr>
                <a:t> 𝑄_𝑊𝑂𝐻𝑢𝑠𝑘𝑒− (𝑄_𝑊𝐶+𝑄_𝑂𝐹002+𝑄_(𝑂𝑛𝑠𝑖𝑡𝑒 𝐺𝑊)+𝑄_𝑆𝑒𝑒𝑝𝑠 )+ 𝑄_𝐼𝑛𝑡𝑎𝑘𝑒</a:t>
              </a:r>
              <a:endParaRPr lang="en-US">
                <a:solidFill>
                  <a:sysClr val="windowText" lastClr="000000"/>
                </a:solidFill>
                <a:effectLst/>
              </a:endParaRPr>
            </a:p>
            <a:p>
              <a:endParaRPr lang="en-US" sz="1100" b="1" u="sng">
                <a:solidFill>
                  <a:sysClr val="windowText" lastClr="000000"/>
                </a:solidFill>
              </a:endParaRPr>
            </a:p>
            <a:p>
              <a:r>
                <a:rPr lang="en-US" sz="1100">
                  <a:solidFill>
                    <a:sysClr val="windowText" lastClr="000000"/>
                  </a:solidFill>
                </a:rPr>
                <a:t>Where</a:t>
              </a:r>
            </a:p>
            <a:p>
              <a:r>
                <a:rPr lang="en-US" sz="1100" b="0" i="0">
                  <a:solidFill>
                    <a:sysClr val="windowText" lastClr="000000"/>
                  </a:solidFill>
                  <a:effectLst/>
                  <a:latin typeface="Cambria Math" panose="02040503050406030204" pitchFamily="18" charset="0"/>
                  <a:ea typeface="+mn-ea"/>
                  <a:cs typeface="+mn-cs"/>
                </a:rPr>
                <a:t>𝑄_𝑈𝑝𝑠𝑡𝑟𝑒𝑎𝑚</a:t>
              </a:r>
              <a:r>
                <a:rPr lang="en-US" sz="1100">
                  <a:solidFill>
                    <a:sysClr val="windowText" lastClr="000000"/>
                  </a:solidFill>
                </a:rPr>
                <a:t> is the flow volume at River Mile 76;</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ysClr val="windowText" lastClr="000000"/>
                  </a:solidFill>
                  <a:effectLst/>
                  <a:latin typeface="Cambria Math" panose="02040503050406030204" pitchFamily="18" charset="0"/>
                  <a:ea typeface="+mn-ea"/>
                  <a:cs typeface="+mn-cs"/>
                </a:rPr>
                <a:t>𝑄_𝑊𝑂𝐻𝑢𝑠𝑘𝑒</a:t>
              </a:r>
              <a:r>
                <a:rPr lang="en-US" sz="1100">
                  <a:solidFill>
                    <a:sysClr val="windowText" lastClr="000000"/>
                  </a:solidFill>
                  <a:effectLst/>
                  <a:latin typeface="+mn-lt"/>
                  <a:ea typeface="+mn-ea"/>
                  <a:cs typeface="+mn-cs"/>
                </a:rPr>
                <a:t> is the flow volume at W.O.Huske Dam, as reported</a:t>
              </a:r>
              <a:r>
                <a:rPr lang="en-US" sz="1100" baseline="0">
                  <a:solidFill>
                    <a:sysClr val="windowText" lastClr="000000"/>
                  </a:solidFill>
                  <a:effectLst/>
                  <a:latin typeface="+mn-lt"/>
                  <a:ea typeface="+mn-ea"/>
                  <a:cs typeface="+mn-cs"/>
                </a:rPr>
                <a:t> by the USGS</a:t>
              </a:r>
              <a:r>
                <a:rPr lang="en-US" sz="1100">
                  <a:solidFill>
                    <a:sysClr val="windowText" lastClr="000000"/>
                  </a:solidFill>
                  <a:effectLst/>
                  <a:latin typeface="+mn-lt"/>
                  <a:ea typeface="+mn-ea"/>
                  <a:cs typeface="+mn-cs"/>
                </a:rPr>
                <a:t>;</a:t>
              </a:r>
              <a:endParaRPr lang="en-US">
                <a:solidFill>
                  <a:sysClr val="windowText" lastClr="000000"/>
                </a:solidFill>
                <a:effectLst/>
              </a:endParaRPr>
            </a:p>
            <a:p>
              <a:r>
                <a:rPr lang="en-US" sz="1100" b="0" i="0">
                  <a:solidFill>
                    <a:sysClr val="windowText" lastClr="000000"/>
                  </a:solidFill>
                  <a:effectLst/>
                  <a:latin typeface="Cambria Math" panose="02040503050406030204" pitchFamily="18" charset="0"/>
                  <a:ea typeface="+mn-ea"/>
                  <a:cs typeface="+mn-cs"/>
                </a:rPr>
                <a:t>𝑄_𝑊𝐶</a:t>
              </a:r>
              <a:r>
                <a:rPr lang="en-US" sz="1100">
                  <a:solidFill>
                    <a:sysClr val="windowText" lastClr="000000"/>
                  </a:solidFill>
                  <a:effectLst/>
                  <a:latin typeface="+mn-lt"/>
                  <a:ea typeface="+mn-ea"/>
                  <a:cs typeface="+mn-cs"/>
                </a:rPr>
                <a:t> is the flow volume at WIllis</a:t>
              </a:r>
              <a:r>
                <a:rPr lang="en-US" sz="1100" baseline="0">
                  <a:solidFill>
                    <a:sysClr val="windowText" lastClr="000000"/>
                  </a:solidFill>
                  <a:effectLst/>
                  <a:latin typeface="+mn-lt"/>
                  <a:ea typeface="+mn-ea"/>
                  <a:cs typeface="+mn-cs"/>
                </a:rPr>
                <a:t> Creek, as measured by the point velocity method;</a:t>
              </a:r>
              <a:endParaRPr lang="en-US">
                <a:solidFill>
                  <a:sysClr val="windowText" lastClr="000000"/>
                </a:solidFill>
                <a:effectLst/>
              </a:endParaRPr>
            </a:p>
            <a:p>
              <a:pPr eaLnBrk="1" fontAlgn="auto" latinLnBrk="0" hangingPunct="1"/>
              <a:r>
                <a:rPr lang="en-US" sz="1100" b="0" i="0">
                  <a:solidFill>
                    <a:sysClr val="windowText" lastClr="000000"/>
                  </a:solidFill>
                  <a:effectLst/>
                  <a:latin typeface="Cambria Math" panose="02040503050406030204" pitchFamily="18" charset="0"/>
                  <a:ea typeface="+mn-ea"/>
                  <a:cs typeface="+mn-cs"/>
                </a:rPr>
                <a:t>𝑄_𝑂𝐹002</a:t>
              </a:r>
              <a:r>
                <a:rPr lang="en-US" sz="1100">
                  <a:solidFill>
                    <a:sysClr val="windowText" lastClr="000000"/>
                  </a:solidFill>
                  <a:effectLst/>
                  <a:latin typeface="+mn-lt"/>
                  <a:ea typeface="+mn-ea"/>
                  <a:cs typeface="+mn-cs"/>
                </a:rPr>
                <a:t> is the flow volume at Outfall 002 as reported in Facility DIscharge Monitoring</a:t>
              </a:r>
              <a:r>
                <a:rPr lang="en-US" sz="1100" baseline="0">
                  <a:solidFill>
                    <a:sysClr val="windowText" lastClr="000000"/>
                  </a:solidFill>
                  <a:effectLst/>
                  <a:latin typeface="+mn-lt"/>
                  <a:ea typeface="+mn-ea"/>
                  <a:cs typeface="+mn-cs"/>
                </a:rPr>
                <a:t> Reports</a:t>
              </a:r>
              <a:r>
                <a:rPr lang="en-US" sz="1100">
                  <a:solidFill>
                    <a:sysClr val="windowText" lastClr="000000"/>
                  </a:solidFill>
                  <a:effectLst/>
                  <a:latin typeface="+mn-lt"/>
                  <a:ea typeface="+mn-ea"/>
                  <a:cs typeface="+mn-cs"/>
                </a:rPr>
                <a:t>;</a:t>
              </a:r>
              <a:endParaRPr lang="en-US">
                <a:solidFill>
                  <a:sysClr val="windowText" lastClr="000000"/>
                </a:solidFill>
                <a:effectLst/>
              </a:endParaRPr>
            </a:p>
            <a:p>
              <a:r>
                <a:rPr lang="en-US" sz="1100" b="0" i="0">
                  <a:solidFill>
                    <a:sysClr val="windowText" lastClr="000000"/>
                  </a:solidFill>
                  <a:effectLst/>
                  <a:latin typeface="Cambria Math" panose="02040503050406030204" pitchFamily="18" charset="0"/>
                  <a:ea typeface="+mn-ea"/>
                  <a:cs typeface="+mn-cs"/>
                </a:rPr>
                <a:t>𝑄_(𝑂𝑛𝑠𝑖𝑡𝑒 𝐺𝑊)</a:t>
              </a:r>
              <a:r>
                <a:rPr lang="en-US" sz="1100">
                  <a:solidFill>
                    <a:sysClr val="windowText" lastClr="000000"/>
                  </a:solidFill>
                  <a:effectLst/>
                  <a:latin typeface="+mn-lt"/>
                  <a:ea typeface="+mn-ea"/>
                  <a:cs typeface="+mn-cs"/>
                </a:rPr>
                <a:t> is the flow volume for onsite groundwater</a:t>
              </a:r>
              <a:r>
                <a:rPr lang="en-US" sz="1100" baseline="0">
                  <a:solidFill>
                    <a:sysClr val="windowText" lastClr="000000"/>
                  </a:solidFill>
                  <a:effectLst/>
                  <a:latin typeface="+mn-lt"/>
                  <a:ea typeface="+mn-ea"/>
                  <a:cs typeface="+mn-cs"/>
                </a:rPr>
                <a:t>, as calculated based on the cross sectional area, hydraulic gradient, and hydraulic conductivity for segments of the Black Creek Aquifer along the Cape Fear River Frontage (see tab named "Onsite GW Flow");</a:t>
              </a:r>
              <a:endParaRPr lang="en-US">
                <a:solidFill>
                  <a:sysClr val="windowText" lastClr="000000"/>
                </a:solidFill>
                <a:effectLst/>
              </a:endParaRPr>
            </a:p>
            <a:p>
              <a:pPr eaLnBrk="1" fontAlgn="auto" latinLnBrk="0" hangingPunct="1"/>
              <a:r>
                <a:rPr lang="en-US" sz="1100" b="0" i="0">
                  <a:solidFill>
                    <a:sysClr val="windowText" lastClr="000000"/>
                  </a:solidFill>
                  <a:effectLst/>
                  <a:latin typeface="Cambria Math" panose="02040503050406030204" pitchFamily="18" charset="0"/>
                  <a:ea typeface="+mn-ea"/>
                  <a:cs typeface="+mn-cs"/>
                </a:rPr>
                <a:t>𝑄_𝑆𝑒𝑒𝑝𝑠</a:t>
              </a:r>
              <a:r>
                <a:rPr lang="en-US" sz="1100">
                  <a:solidFill>
                    <a:sysClr val="windowText" lastClr="000000"/>
                  </a:solidFill>
                  <a:effectLst/>
                  <a:latin typeface="+mn-lt"/>
                  <a:ea typeface="+mn-ea"/>
                  <a:cs typeface="+mn-cs"/>
                </a:rPr>
                <a:t> is the summed flow volume</a:t>
              </a:r>
              <a:r>
                <a:rPr lang="en-US" sz="1100" baseline="0">
                  <a:solidFill>
                    <a:sysClr val="windowText" lastClr="000000"/>
                  </a:solidFill>
                  <a:effectLst/>
                  <a:latin typeface="+mn-lt"/>
                  <a:ea typeface="+mn-ea"/>
                  <a:cs typeface="+mn-cs"/>
                </a:rPr>
                <a:t> for Seeps A, B, C, and D, as measured using flumes</a:t>
              </a:r>
              <a:r>
                <a:rPr lang="en-US" sz="1100">
                  <a:solidFill>
                    <a:sysClr val="windowText" lastClr="000000"/>
                  </a:solidFill>
                  <a:effectLst/>
                  <a:latin typeface="+mn-lt"/>
                  <a:ea typeface="+mn-ea"/>
                  <a:cs typeface="+mn-cs"/>
                </a:rPr>
                <a:t>; and</a:t>
              </a:r>
            </a:p>
            <a:p>
              <a:pPr eaLnBrk="1" fontAlgn="auto" latinLnBrk="0" hangingPunct="1"/>
              <a:r>
                <a:rPr lang="en-US" sz="1100" b="0" i="0">
                  <a:solidFill>
                    <a:sysClr val="windowText" lastClr="000000"/>
                  </a:solidFill>
                  <a:effectLst/>
                  <a:latin typeface="Cambria Math" panose="02040503050406030204" pitchFamily="18" charset="0"/>
                  <a:ea typeface="+mn-ea"/>
                  <a:cs typeface="+mn-cs"/>
                </a:rPr>
                <a:t>𝑄_𝑖𝑛𝑡𝑎𝑘𝑒</a:t>
              </a:r>
              <a:r>
                <a:rPr lang="en-US" sz="1100">
                  <a:solidFill>
                    <a:sysClr val="windowText" lastClr="000000"/>
                  </a:solidFill>
                  <a:effectLst/>
                  <a:latin typeface="+mn-lt"/>
                  <a:ea typeface="+mn-ea"/>
                  <a:cs typeface="+mn-cs"/>
                </a:rPr>
                <a:t> is the flow volume at the Facility intake, as reported</a:t>
              </a:r>
              <a:r>
                <a:rPr lang="en-US" sz="1100" baseline="0">
                  <a:solidFill>
                    <a:sysClr val="windowText" lastClr="000000"/>
                  </a:solidFill>
                  <a:effectLst/>
                  <a:latin typeface="+mn-lt"/>
                  <a:ea typeface="+mn-ea"/>
                  <a:cs typeface="+mn-cs"/>
                </a:rPr>
                <a:t> by the Facility.</a:t>
              </a:r>
              <a:endParaRPr lang="en-US" sz="1100">
                <a:solidFill>
                  <a:sysClr val="windowText" lastClr="000000"/>
                </a:solidFill>
                <a:effectLst/>
                <a:latin typeface="+mn-lt"/>
                <a:ea typeface="+mn-ea"/>
                <a:cs typeface="+mn-cs"/>
              </a:endParaRPr>
            </a:p>
            <a:p>
              <a:pPr eaLnBrk="1" fontAlgn="auto" latinLnBrk="0" hangingPunct="1"/>
              <a:endParaRPr lang="en-US">
                <a:solidFill>
                  <a:sysClr val="windowText" lastClr="000000"/>
                </a:solidFill>
                <a:effectLst/>
              </a:endParaRPr>
            </a:p>
            <a:p>
              <a:r>
                <a:rPr lang="en-US" sz="1100">
                  <a:solidFill>
                    <a:sysClr val="windowText" lastClr="000000"/>
                  </a:solidFill>
                </a:rPr>
                <a:t>River</a:t>
              </a:r>
              <a:r>
                <a:rPr lang="en-US" sz="1100" baseline="0">
                  <a:solidFill>
                    <a:sysClr val="windowText" lastClr="000000"/>
                  </a:solidFill>
                </a:rPr>
                <a:t> flow volumes reported at the W.O. Huske Dam by the USGS are used t</a:t>
              </a:r>
              <a:r>
                <a:rPr lang="en-US" sz="1100">
                  <a:solidFill>
                    <a:sysClr val="windowText" lastClr="000000"/>
                  </a:solidFill>
                </a:rPr>
                <a:t>o calculate mass load</a:t>
              </a:r>
              <a:r>
                <a:rPr lang="en-US" sz="1100" baseline="0">
                  <a:solidFill>
                    <a:sysClr val="windowText" lastClr="000000"/>
                  </a:solidFill>
                </a:rPr>
                <a:t> at the Tar Heel Ferry Road location and the Bladen Bluff location.</a:t>
              </a:r>
              <a:endParaRPr lang="en-US" sz="1100">
                <a:solidFill>
                  <a:sysClr val="windowText" lastClr="000000"/>
                </a:solidFill>
              </a:endParaRPr>
            </a:p>
            <a:p>
              <a:r>
                <a:rPr lang="en-US" sz="1100">
                  <a:solidFill>
                    <a:schemeClr val="tx1"/>
                  </a:solidFill>
                  <a:effectLst/>
                  <a:latin typeface="+mn-lt"/>
                  <a:ea typeface="+mn-ea"/>
                  <a:cs typeface="+mn-cs"/>
                </a:rPr>
                <a:t>A time offset is applied to the flow data to account for travel time for the flow passing the W.O. Huske Dam to reach the Tar Heel Ferry Road location and the Bladen Bluff location. </a:t>
              </a:r>
            </a:p>
            <a:p>
              <a:r>
                <a:rPr lang="en-US" sz="1100">
                  <a:solidFill>
                    <a:schemeClr val="tx1"/>
                  </a:solidFill>
                  <a:effectLst/>
                  <a:latin typeface="+mn-lt"/>
                  <a:ea typeface="+mn-ea"/>
                  <a:cs typeface="+mn-cs"/>
                </a:rPr>
                <a:t>River flow passing the W.O. Huske is estimated to have a travel time between 2 and 12 hours to reach CFR-TARHEEL depending on river flow (e.g., the flow rate passing W.O. Huske Dam at 8 am will arrive at CFR-TARHEEL at 11 am for a 3 hour travel time). </a:t>
              </a:r>
            </a:p>
            <a:p>
              <a:r>
                <a:rPr lang="en-US" sz="1100">
                  <a:solidFill>
                    <a:schemeClr val="tx1"/>
                  </a:solidFill>
                  <a:effectLst/>
                  <a:latin typeface="+mn-lt"/>
                  <a:ea typeface="+mn-ea"/>
                  <a:cs typeface="+mn-cs"/>
                </a:rPr>
                <a:t>Travel times are estimated based on the results of a numerical model of the Cape Fear River which developed a regression curve between the USGS reported gage heights at W.O. Huske Dam and travel times (See tab</a:t>
              </a:r>
              <a:r>
                <a:rPr lang="en-US" sz="1100" baseline="0">
                  <a:solidFill>
                    <a:schemeClr val="tx1"/>
                  </a:solidFill>
                  <a:effectLst/>
                  <a:latin typeface="+mn-lt"/>
                  <a:ea typeface="+mn-ea"/>
                  <a:cs typeface="+mn-cs"/>
                </a:rPr>
                <a:t> named "Travel Times" for regression curves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Equations 3 and 4 show the formulas used to calculate the time offsets for Tar Heel and Bladen Bluffs, respectively. </a:t>
              </a:r>
            </a:p>
            <a:p>
              <a:r>
                <a:rPr lang="en-US" sz="1100" b="1" i="1">
                  <a:solidFill>
                    <a:schemeClr val="tx1"/>
                  </a:solidFill>
                  <a:effectLst/>
                  <a:latin typeface="+mn-lt"/>
                  <a:ea typeface="+mn-ea"/>
                  <a:cs typeface="+mn-cs"/>
                </a:rPr>
                <a:t>Equation 3: Travel time offset W.O. Huske Dam to Tar Heel Ferry Road Bridge</a:t>
              </a:r>
            </a:p>
            <a:p>
              <a:pPr/>
              <a:r>
                <a:rPr lang="en-US" sz="1100" i="0">
                  <a:solidFill>
                    <a:schemeClr val="tx1"/>
                  </a:solidFill>
                  <a:effectLst/>
                  <a:latin typeface="Cambria Math" panose="02040503050406030204" pitchFamily="18" charset="0"/>
                  <a:ea typeface="+mn-ea"/>
                  <a:cs typeface="+mn-cs"/>
                </a:rPr>
                <a:t>𝑡_𝑜𝑓𝑓𝑠𝑒𝑡=13,422∙𝑄_(𝐶𝐹𝑅 𝑊𝑂𝐻𝐷)^(−1)+2.019</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Where</a:t>
              </a:r>
            </a:p>
            <a:p>
              <a:r>
                <a:rPr lang="en-US" sz="1100" i="0">
                  <a:solidFill>
                    <a:schemeClr val="tx1"/>
                  </a:solidFill>
                  <a:effectLst/>
                  <a:latin typeface="Cambria Math" panose="02040503050406030204" pitchFamily="18" charset="0"/>
                  <a:ea typeface="+mn-ea"/>
                  <a:cs typeface="+mn-cs"/>
                </a:rPr>
                <a:t>𝑡_𝑜𝑓𝑓𝑠𝑒𝑡</a:t>
              </a:r>
              <a:r>
                <a:rPr lang="en-US" sz="1100">
                  <a:solidFill>
                    <a:schemeClr val="tx1"/>
                  </a:solidFill>
                  <a:effectLst/>
                  <a:latin typeface="+mn-lt"/>
                  <a:ea typeface="+mn-ea"/>
                  <a:cs typeface="+mn-cs"/>
                </a:rPr>
                <a:t> = is the travel time flow in the Cape Fear River takes in hours to pass from the W.O. Huske Dam to the Tar Heel Ferry Road Bridge based on the measured flow in the Cape Fear River at the W.O. Huske Dam;</a:t>
              </a:r>
            </a:p>
            <a:p>
              <a:r>
                <a:rPr lang="en-US" sz="1100" i="0">
                  <a:solidFill>
                    <a:schemeClr val="tx1"/>
                  </a:solidFill>
                  <a:effectLst/>
                  <a:latin typeface="Cambria Math" panose="02040503050406030204" pitchFamily="18" charset="0"/>
                  <a:ea typeface="+mn-ea"/>
                  <a:cs typeface="+mn-cs"/>
                </a:rPr>
                <a:t>𝑄_(𝐶𝐹𝑅 𝑊𝑂𝐻𝐷)^(−1)  </a:t>
              </a:r>
              <a:r>
                <a:rPr lang="en-US" sz="1100">
                  <a:solidFill>
                    <a:schemeClr val="tx1"/>
                  </a:solidFill>
                  <a:effectLst/>
                  <a:latin typeface="+mn-lt"/>
                  <a:ea typeface="+mn-ea"/>
                  <a:cs typeface="+mn-cs"/>
                </a:rPr>
                <a:t> = is the inverse of the measured flow rate of the Cape Fear River at W.O. Huske Dam for a given point in time in cubic feet per second; and</a:t>
              </a: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13,422 𝑎𝑛𝑑 2.019 </a:t>
              </a:r>
              <a:r>
                <a:rPr lang="en-US" sz="1100">
                  <a:solidFill>
                    <a:schemeClr val="tx1"/>
                  </a:solidFill>
                  <a:effectLst/>
                  <a:latin typeface="+mn-lt"/>
                  <a:ea typeface="+mn-ea"/>
                  <a:cs typeface="+mn-cs"/>
                </a:rPr>
                <a:t> are the slope and intercept of the regression curve, respectively.</a:t>
              </a:r>
            </a:p>
            <a:p>
              <a:r>
                <a:rPr lang="en-US" sz="110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tx1"/>
                  </a:solidFill>
                  <a:effectLst/>
                  <a:latin typeface="+mn-lt"/>
                  <a:ea typeface="+mn-ea"/>
                  <a:cs typeface="+mn-cs"/>
                </a:rPr>
                <a:t>Equation 4: Travel time offset W.O. Huske Dam to Bladen Bluff</a:t>
              </a:r>
            </a:p>
            <a:p>
              <a:pPr/>
              <a:r>
                <a:rPr lang="en-US" sz="1100" i="0">
                  <a:solidFill>
                    <a:schemeClr val="tx1"/>
                  </a:solidFill>
                  <a:effectLst/>
                  <a:latin typeface="Cambria Math" panose="02040503050406030204" pitchFamily="18" charset="0"/>
                  <a:ea typeface="+mn-ea"/>
                  <a:cs typeface="+mn-cs"/>
                </a:rPr>
                <a:t>𝑡_𝑜𝑓𝑓𝑠𝑒𝑡=</a:t>
              </a:r>
              <a:r>
                <a:rPr lang="en-US" sz="1100" b="0" i="0">
                  <a:solidFill>
                    <a:schemeClr val="tx1"/>
                  </a:solidFill>
                  <a:effectLst/>
                  <a:latin typeface="Cambria Math" panose="02040503050406030204" pitchFamily="18" charset="0"/>
                  <a:ea typeface="+mn-ea"/>
                  <a:cs typeface="+mn-cs"/>
                </a:rPr>
                <a:t>8,826</a:t>
              </a:r>
              <a:r>
                <a:rPr lang="en-US" sz="1100" i="0">
                  <a:solidFill>
                    <a:schemeClr val="tx1"/>
                  </a:solidFill>
                  <a:effectLst/>
                  <a:latin typeface="Cambria Math" panose="02040503050406030204" pitchFamily="18" charset="0"/>
                  <a:ea typeface="+mn-ea"/>
                  <a:cs typeface="+mn-cs"/>
                </a:rPr>
                <a:t>∙𝑄_(𝐶𝐹𝑅 𝑊𝑂𝐻𝐷)^(−1)+</a:t>
              </a:r>
              <a:r>
                <a:rPr lang="en-US" sz="1100" b="0" i="0">
                  <a:solidFill>
                    <a:schemeClr val="tx1"/>
                  </a:solidFill>
                  <a:effectLst/>
                  <a:latin typeface="Cambria Math" panose="02040503050406030204" pitchFamily="18" charset="0"/>
                  <a:ea typeface="+mn-ea"/>
                  <a:cs typeface="+mn-cs"/>
                </a:rPr>
                <a:t>1.530</a:t>
              </a:r>
              <a:endParaRPr lang="en-US">
                <a:effectLst/>
              </a:endParaRPr>
            </a:p>
            <a:p>
              <a:r>
                <a:rPr lang="en-US" sz="1100">
                  <a:solidFill>
                    <a:schemeClr val="tx1"/>
                  </a:solidFill>
                  <a:effectLst/>
                  <a:latin typeface="+mn-lt"/>
                  <a:ea typeface="+mn-ea"/>
                  <a:cs typeface="+mn-cs"/>
                </a:rPr>
                <a:t>Where</a:t>
              </a:r>
              <a:endParaRPr lang="en-US">
                <a:effectLst/>
              </a:endParaRPr>
            </a:p>
            <a:p>
              <a:r>
                <a:rPr lang="en-US" sz="1100" i="0">
                  <a:solidFill>
                    <a:schemeClr val="tx1"/>
                  </a:solidFill>
                  <a:effectLst/>
                  <a:latin typeface="Cambria Math" panose="02040503050406030204" pitchFamily="18" charset="0"/>
                  <a:ea typeface="+mn-ea"/>
                  <a:cs typeface="+mn-cs"/>
                </a:rPr>
                <a:t>𝑡_𝑜𝑓𝑓𝑠𝑒𝑡</a:t>
              </a:r>
              <a:r>
                <a:rPr lang="en-US" sz="1100">
                  <a:solidFill>
                    <a:schemeClr val="tx1"/>
                  </a:solidFill>
                  <a:effectLst/>
                  <a:latin typeface="+mn-lt"/>
                  <a:ea typeface="+mn-ea"/>
                  <a:cs typeface="+mn-cs"/>
                </a:rPr>
                <a:t> = is the travel time flow in the Cape Fear River takes in hours to pass from the W.O. Huske Dam to Bladen</a:t>
              </a:r>
              <a:r>
                <a:rPr lang="en-US" sz="1100" baseline="0">
                  <a:solidFill>
                    <a:schemeClr val="tx1"/>
                  </a:solidFill>
                  <a:effectLst/>
                  <a:latin typeface="+mn-lt"/>
                  <a:ea typeface="+mn-ea"/>
                  <a:cs typeface="+mn-cs"/>
                </a:rPr>
                <a:t> Bluffs Intake location </a:t>
              </a:r>
              <a:r>
                <a:rPr lang="en-US" sz="1100">
                  <a:solidFill>
                    <a:schemeClr val="tx1"/>
                  </a:solidFill>
                  <a:effectLst/>
                  <a:latin typeface="+mn-lt"/>
                  <a:ea typeface="+mn-ea"/>
                  <a:cs typeface="+mn-cs"/>
                </a:rPr>
                <a:t>based on the measured flow in the Cape Fear River at the W.O. Huske Dam;</a:t>
              </a:r>
              <a:endParaRPr lang="en-US">
                <a:effectLst/>
              </a:endParaRPr>
            </a:p>
            <a:p>
              <a:r>
                <a:rPr lang="en-US" sz="1100" i="0">
                  <a:solidFill>
                    <a:schemeClr val="tx1"/>
                  </a:solidFill>
                  <a:effectLst/>
                  <a:latin typeface="Cambria Math" panose="02040503050406030204" pitchFamily="18" charset="0"/>
                  <a:ea typeface="+mn-ea"/>
                  <a:cs typeface="+mn-cs"/>
                </a:rPr>
                <a:t>𝑄_(𝐶𝐹𝑅 𝑊𝑂𝐻𝐷)^(−1)  </a:t>
              </a:r>
              <a:r>
                <a:rPr lang="en-US" sz="1100">
                  <a:solidFill>
                    <a:schemeClr val="tx1"/>
                  </a:solidFill>
                  <a:effectLst/>
                  <a:latin typeface="+mn-lt"/>
                  <a:ea typeface="+mn-ea"/>
                  <a:cs typeface="+mn-cs"/>
                </a:rPr>
                <a:t> = is the inverse of the measured flow rate of the Cape Fear River at W.O. Huske Dam for a given point in time in cubic feet per second; and</a:t>
              </a:r>
              <a:r>
                <a:rPr lang="en-US" sz="1100" b="0" i="0">
                  <a:solidFill>
                    <a:schemeClr val="tx1"/>
                  </a:solidFill>
                  <a:effectLst/>
                  <a:latin typeface="Cambria Math" panose="02040503050406030204" pitchFamily="18" charset="0"/>
                  <a:ea typeface="+mn-ea"/>
                  <a:cs typeface="+mn-cs"/>
                </a:rPr>
                <a:t> 8</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826</a:t>
              </a:r>
              <a:r>
                <a:rPr lang="en-US" sz="1100" i="0">
                  <a:solidFill>
                    <a:schemeClr val="tx1"/>
                  </a:solidFill>
                  <a:effectLst/>
                  <a:latin typeface="Cambria Math" panose="02040503050406030204" pitchFamily="18" charset="0"/>
                  <a:ea typeface="+mn-ea"/>
                  <a:cs typeface="+mn-cs"/>
                </a:rPr>
                <a:t> 𝑎𝑛𝑑 1.530 </a:t>
              </a:r>
              <a:r>
                <a:rPr lang="en-US" sz="1100">
                  <a:solidFill>
                    <a:schemeClr val="tx1"/>
                  </a:solidFill>
                  <a:effectLst/>
                  <a:latin typeface="+mn-lt"/>
                  <a:ea typeface="+mn-ea"/>
                  <a:cs typeface="+mn-cs"/>
                </a:rPr>
                <a:t> are the slope and intercept of the regression curve, respectively.</a:t>
              </a:r>
              <a:endParaRPr lang="en-US">
                <a:effectLst/>
              </a:endParaRPr>
            </a:p>
            <a:p>
              <a:endParaRPr lang="en-US" sz="1100">
                <a:solidFill>
                  <a:schemeClr val="tx1"/>
                </a:solidFill>
                <a:effectLst/>
                <a:latin typeface="+mn-lt"/>
                <a:ea typeface="+mn-ea"/>
                <a:cs typeface="+mn-cs"/>
              </a:endParaRPr>
            </a:p>
            <a:p>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248119</xdr:colOff>
      <xdr:row>14</xdr:row>
      <xdr:rowOff>144899</xdr:rowOff>
    </xdr:from>
    <xdr:to>
      <xdr:col>16</xdr:col>
      <xdr:colOff>681027</xdr:colOff>
      <xdr:row>52</xdr:row>
      <xdr:rowOff>137713</xdr:rowOff>
    </xdr:to>
    <xdr:pic>
      <xdr:nvPicPr>
        <xdr:cNvPr id="2" name="Picture 1">
          <a:extLst>
            <a:ext uri="{FF2B5EF4-FFF2-40B4-BE49-F238E27FC236}">
              <a16:creationId xmlns:a16="http://schemas.microsoft.com/office/drawing/2014/main" id="{68BEB941-D965-4B6D-B1D0-BFE0C7CAF454}"/>
            </a:ext>
          </a:extLst>
        </xdr:cNvPr>
        <xdr:cNvPicPr>
          <a:picLocks noChangeAspect="1"/>
        </xdr:cNvPicPr>
      </xdr:nvPicPr>
      <xdr:blipFill>
        <a:blip xmlns:r="http://schemas.openxmlformats.org/officeDocument/2006/relationships" r:embed="rId1"/>
        <a:stretch>
          <a:fillRect/>
        </a:stretch>
      </xdr:blipFill>
      <xdr:spPr>
        <a:xfrm>
          <a:off x="10516069" y="2811899"/>
          <a:ext cx="4509608" cy="6260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104773</xdr:colOff>
      <xdr:row>12</xdr:row>
      <xdr:rowOff>28576</xdr:rowOff>
    </xdr:from>
    <xdr:to>
      <xdr:col>4</xdr:col>
      <xdr:colOff>2647950</xdr:colOff>
      <xdr:row>30</xdr:row>
      <xdr:rowOff>85726</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E060F86D-24C3-4E13-AAC6-2994F4F34EF0}"/>
                </a:ext>
              </a:extLst>
            </xdr:cNvPr>
            <xdr:cNvSpPr txBox="1"/>
          </xdr:nvSpPr>
          <xdr:spPr>
            <a:xfrm>
              <a:off x="104773" y="2400301"/>
              <a:ext cx="7772402" cy="297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Times New Roman" panose="02020603050405020304" pitchFamily="18" charset="0"/>
                  <a:ea typeface="+mn-ea"/>
                  <a:cs typeface="Times New Roman" panose="02020603050405020304" pitchFamily="18" charset="0"/>
                </a:rPr>
                <a:t>Calculation</a:t>
              </a:r>
              <a:r>
                <a:rPr lang="en-US" sz="1100" b="1" i="1" baseline="0">
                  <a:solidFill>
                    <a:schemeClr val="dk1"/>
                  </a:solidFill>
                  <a:effectLst/>
                  <a:latin typeface="Times New Roman" panose="02020603050405020304" pitchFamily="18" charset="0"/>
                  <a:ea typeface="+mn-ea"/>
                  <a:cs typeface="Times New Roman" panose="02020603050405020304" pitchFamily="18" charset="0"/>
                </a:rPr>
                <a:t> Notes for </a:t>
              </a:r>
              <a:r>
                <a:rPr lang="en-US" sz="1100" b="1" i="1">
                  <a:solidFill>
                    <a:schemeClr val="dk1"/>
                  </a:solidFill>
                  <a:effectLst/>
                  <a:latin typeface="Times New Roman" panose="02020603050405020304" pitchFamily="18" charset="0"/>
                  <a:ea typeface="+mn-ea"/>
                  <a:cs typeface="Times New Roman" panose="02020603050405020304" pitchFamily="18" charset="0"/>
                </a:rPr>
                <a:t>Offsite Upstream Groundwater to Offsite Adjacent and Downstream Groundwater Mass Discharge Scaling Factor</a:t>
              </a:r>
            </a:p>
            <a:p>
              <a:pPr/>
              <a14:m>
                <m:oMathPara xmlns:m="http://schemas.openxmlformats.org/officeDocument/2006/math">
                  <m:oMathParaPr>
                    <m:jc m:val="centerGroup"/>
                  </m:oMathParaPr>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𝑓</m:t>
                        </m:r>
                      </m:e>
                      <m:sub>
                        <m:r>
                          <a:rPr lang="en-US" sz="1100" b="0" i="1">
                            <a:solidFill>
                              <a:schemeClr val="dk1"/>
                            </a:solidFill>
                            <a:effectLst/>
                            <a:latin typeface="Cambria Math" panose="02040503050406030204" pitchFamily="18" charset="0"/>
                            <a:ea typeface="+mn-ea"/>
                            <a:cs typeface="+mn-cs"/>
                          </a:rPr>
                          <m:t>𝑔𝑤</m:t>
                        </m:r>
                      </m:sub>
                    </m:sSub>
                    <m:r>
                      <a:rPr lang="en-US" sz="1100" i="1">
                        <a:solidFill>
                          <a:schemeClr val="dk1"/>
                        </a:solidFill>
                        <a:effectLst/>
                        <a:latin typeface="Cambria Math" panose="02040503050406030204" pitchFamily="18" charset="0"/>
                        <a:ea typeface="+mn-ea"/>
                        <a:cs typeface="+mn-cs"/>
                      </a:rPr>
                      <m:t>= </m:t>
                    </m:r>
                    <m:f>
                      <m:fPr>
                        <m:ctrlPr>
                          <a:rPr lang="en-US" sz="1100" i="1">
                            <a:solidFill>
                              <a:schemeClr val="dk1"/>
                            </a:solidFill>
                            <a:effectLst/>
                            <a:latin typeface="Cambria Math" panose="02040503050406030204" pitchFamily="18" charset="0"/>
                            <a:ea typeface="+mn-ea"/>
                            <a:cs typeface="+mn-cs"/>
                          </a:rPr>
                        </m:ctrlPr>
                      </m:fPr>
                      <m:num>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𝑙</m:t>
                            </m:r>
                          </m:e>
                          <m:sub>
                            <m:r>
                              <a:rPr lang="en-US" sz="1100" i="1">
                                <a:solidFill>
                                  <a:schemeClr val="dk1"/>
                                </a:solidFill>
                                <a:effectLst/>
                                <a:latin typeface="Cambria Math" panose="02040503050406030204" pitchFamily="18" charset="0"/>
                                <a:ea typeface="+mn-ea"/>
                                <a:cs typeface="+mn-cs"/>
                              </a:rPr>
                              <m:t>𝐶𝐹𝑅</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𝑎𝑑𝑗</m:t>
                            </m:r>
                          </m:sub>
                        </m:sSub>
                        <m:r>
                          <a:rPr lang="en-US" sz="1100" i="1">
                            <a:solidFill>
                              <a:schemeClr val="dk1"/>
                            </a:solidFill>
                            <a:effectLst/>
                            <a:latin typeface="Cambria Math" panose="02040503050406030204" pitchFamily="18" charset="0"/>
                            <a:ea typeface="+mn-ea"/>
                            <a:cs typeface="+mn-cs"/>
                          </a:rPr>
                          <m:t>+2</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𝑙</m:t>
                            </m:r>
                          </m:e>
                          <m:sub>
                            <m:r>
                              <a:rPr lang="en-US" sz="1100" i="1">
                                <a:solidFill>
                                  <a:schemeClr val="dk1"/>
                                </a:solidFill>
                                <a:effectLst/>
                                <a:latin typeface="Cambria Math" panose="02040503050406030204" pitchFamily="18" charset="0"/>
                                <a:ea typeface="+mn-ea"/>
                                <a:cs typeface="+mn-cs"/>
                              </a:rPr>
                              <m:t>𝐶𝐹𝑅</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𝑑</m:t>
                            </m:r>
                          </m:sub>
                        </m:sSub>
                      </m:num>
                      <m:den>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2</m:t>
                            </m:r>
                            <m:r>
                              <a:rPr lang="en-US" sz="1100" i="1">
                                <a:solidFill>
                                  <a:schemeClr val="dk1"/>
                                </a:solidFill>
                                <a:effectLst/>
                                <a:latin typeface="Cambria Math" panose="02040503050406030204" pitchFamily="18" charset="0"/>
                                <a:ea typeface="+mn-ea"/>
                                <a:cs typeface="+mn-cs"/>
                              </a:rPr>
                              <m:t>𝑙</m:t>
                            </m:r>
                          </m:e>
                          <m:sub>
                            <m:r>
                              <a:rPr lang="en-US" sz="1100" i="1">
                                <a:solidFill>
                                  <a:schemeClr val="dk1"/>
                                </a:solidFill>
                                <a:effectLst/>
                                <a:latin typeface="Cambria Math" panose="02040503050406030204" pitchFamily="18" charset="0"/>
                                <a:ea typeface="+mn-ea"/>
                                <a:cs typeface="+mn-cs"/>
                              </a:rPr>
                              <m:t>𝐶𝐹𝑅</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𝑢𝑝</m:t>
                            </m:r>
                          </m:sub>
                        </m:sSub>
                      </m:den>
                    </m:f>
                  </m:oMath>
                </m:oMathPara>
              </a14:m>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where,</a:t>
              </a:r>
            </a:p>
            <a:p>
              <a:endParaRPr lang="en-US" sz="1100">
                <a:solidFill>
                  <a:schemeClr val="dk1"/>
                </a:solidFill>
                <a:effectLst/>
                <a:latin typeface="Times New Roman" panose="02020603050405020304" pitchFamily="18" charset="0"/>
                <a:ea typeface="+mn-ea"/>
                <a:cs typeface="Times New Roman" panose="02020603050405020304" pitchFamily="18" charset="0"/>
              </a:endParaRPr>
            </a:p>
            <a:p>
              <a14:m>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𝑙</m:t>
                      </m:r>
                    </m:e>
                    <m:sub>
                      <m:r>
                        <a:rPr lang="en-US" sz="1100" i="1">
                          <a:solidFill>
                            <a:schemeClr val="dk1"/>
                          </a:solidFill>
                          <a:effectLst/>
                          <a:latin typeface="Cambria Math" panose="02040503050406030204" pitchFamily="18" charset="0"/>
                          <a:ea typeface="+mn-ea"/>
                          <a:cs typeface="+mn-cs"/>
                        </a:rPr>
                        <m:t>𝐶𝐹𝑅</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𝑎𝑑𝑗</m:t>
                      </m:r>
                    </m:sub>
                  </m:sSub>
                </m:oMath>
              </a14:m>
              <a:r>
                <a:rPr lang="en-US" sz="1100">
                  <a:solidFill>
                    <a:schemeClr val="dk1"/>
                  </a:solidFill>
                  <a:effectLst/>
                  <a:latin typeface="Times New Roman" panose="02020603050405020304" pitchFamily="18" charset="0"/>
                  <a:ea typeface="+mn-ea"/>
                  <a:cs typeface="Times New Roman" panose="02020603050405020304" pitchFamily="18" charset="0"/>
                </a:rPr>
                <a:t> = represents the length of the Cape Fear River adjacent to the Site (i.e. the east bank of the Cape Fear River opposite the Site) where Table 3+ PFAS have been detected in offsite groundwater within one mile of the river.</a:t>
              </a:r>
            </a:p>
            <a:p>
              <a:endParaRPr lang="en-US" sz="1100" i="1">
                <a:solidFill>
                  <a:schemeClr val="dk1"/>
                </a:solidFill>
                <a:effectLst/>
                <a:latin typeface="+mn-lt"/>
                <a:ea typeface="+mn-ea"/>
                <a:cs typeface="+mn-cs"/>
              </a:endParaRPr>
            </a:p>
            <a:p>
              <a14:m>
                <m:oMath xmlns:m="http://schemas.openxmlformats.org/officeDocument/2006/math">
                  <m:r>
                    <a:rPr lang="en-US" sz="1100" i="1">
                      <a:solidFill>
                        <a:schemeClr val="dk1"/>
                      </a:solidFill>
                      <a:effectLst/>
                      <a:latin typeface="Cambria Math" panose="02040503050406030204" pitchFamily="18" charset="0"/>
                      <a:ea typeface="+mn-ea"/>
                      <a:cs typeface="+mn-cs"/>
                    </a:rPr>
                    <m:t>2</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𝑙</m:t>
                      </m:r>
                    </m:e>
                    <m:sub>
                      <m:r>
                        <a:rPr lang="en-US" sz="1100" i="1">
                          <a:solidFill>
                            <a:schemeClr val="dk1"/>
                          </a:solidFill>
                          <a:effectLst/>
                          <a:latin typeface="Cambria Math" panose="02040503050406030204" pitchFamily="18" charset="0"/>
                          <a:ea typeface="+mn-ea"/>
                          <a:cs typeface="+mn-cs"/>
                        </a:rPr>
                        <m:t>𝐶𝐹𝑅</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𝑑</m:t>
                      </m:r>
                    </m:sub>
                  </m:sSub>
                </m:oMath>
              </a14:m>
              <a:r>
                <a:rPr lang="en-US" sz="1100">
                  <a:solidFill>
                    <a:schemeClr val="dk1"/>
                  </a:solidFill>
                  <a:effectLst/>
                  <a:latin typeface="Times New Roman" panose="02020603050405020304" pitchFamily="18" charset="0"/>
                  <a:ea typeface="+mn-ea"/>
                  <a:cs typeface="Times New Roman" panose="02020603050405020304" pitchFamily="18" charset="0"/>
                </a:rPr>
                <a:t> = represents the length of the Cape Fear River downstream of the Site where Table 3+ PFAS have been detected in offsite groundwater within one mile of the river. This quantity is multiplied by two (2) as the river has two downstream sides (east and west) from which groundwater discharge can reach the Cape Fear River (adjacent only has one side, east).</a:t>
              </a:r>
            </a:p>
            <a:p>
              <a:endParaRPr lang="en-US" sz="1100" i="1">
                <a:solidFill>
                  <a:schemeClr val="dk1"/>
                </a:solidFill>
                <a:effectLst/>
                <a:latin typeface="+mn-lt"/>
                <a:ea typeface="+mn-ea"/>
                <a:cs typeface="+mn-cs"/>
              </a:endParaRPr>
            </a:p>
            <a:p>
              <a14:m>
                <m:oMath xmlns:m="http://schemas.openxmlformats.org/officeDocument/2006/math">
                  <m:r>
                    <a:rPr lang="en-US" sz="1100" i="1">
                      <a:solidFill>
                        <a:schemeClr val="dk1"/>
                      </a:solidFill>
                      <a:effectLst/>
                      <a:latin typeface="Cambria Math" panose="02040503050406030204" pitchFamily="18" charset="0"/>
                      <a:ea typeface="+mn-ea"/>
                      <a:cs typeface="+mn-cs"/>
                    </a:rPr>
                    <m:t>2</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𝑙</m:t>
                      </m:r>
                    </m:e>
                    <m:sub>
                      <m:r>
                        <a:rPr lang="en-US" sz="1100" i="1">
                          <a:solidFill>
                            <a:schemeClr val="dk1"/>
                          </a:solidFill>
                          <a:effectLst/>
                          <a:latin typeface="Cambria Math" panose="02040503050406030204" pitchFamily="18" charset="0"/>
                          <a:ea typeface="+mn-ea"/>
                          <a:cs typeface="+mn-cs"/>
                        </a:rPr>
                        <m:t>𝐶𝐹𝑅</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𝑢𝑝</m:t>
                      </m:r>
                    </m:sub>
                  </m:sSub>
                </m:oMath>
              </a14:m>
              <a:r>
                <a:rPr lang="en-US" sz="1100">
                  <a:solidFill>
                    <a:schemeClr val="dk1"/>
                  </a:solidFill>
                  <a:effectLst/>
                  <a:latin typeface="Times New Roman" panose="02020603050405020304" pitchFamily="18" charset="0"/>
                  <a:ea typeface="+mn-ea"/>
                  <a:cs typeface="Times New Roman" panose="02020603050405020304" pitchFamily="18" charset="0"/>
                </a:rPr>
                <a:t> = represents the length of the Cape Fear River upstream of the Site where Table 3+ PFAS have been detected in offsite groundwater within one mile of the river. This quantity is multiplied by two (2) as the river has two upstream sides (east and west) from which groundwater discharge can reach the Cape Fear River (adjacent only has one side, east).</a:t>
              </a:r>
            </a:p>
            <a:p>
              <a:endParaRPr lang="en-US" sz="1100">
                <a:latin typeface="Times New Roman" panose="02020603050405020304" pitchFamily="18" charset="0"/>
                <a:cs typeface="Times New Roman" panose="02020603050405020304" pitchFamily="18" charset="0"/>
              </a:endParaRPr>
            </a:p>
          </xdr:txBody>
        </xdr:sp>
      </mc:Choice>
      <mc:Fallback xmlns="">
        <xdr:sp macro="" textlink="">
          <xdr:nvSpPr>
            <xdr:cNvPr id="6" name="TextBox 5">
              <a:extLst>
                <a:ext uri="{FF2B5EF4-FFF2-40B4-BE49-F238E27FC236}">
                  <a16:creationId xmlns:a16="http://schemas.microsoft.com/office/drawing/2014/main" id="{E060F86D-24C3-4E13-AAC6-2994F4F34EF0}"/>
                </a:ext>
              </a:extLst>
            </xdr:cNvPr>
            <xdr:cNvSpPr txBox="1"/>
          </xdr:nvSpPr>
          <xdr:spPr>
            <a:xfrm>
              <a:off x="104773" y="2400301"/>
              <a:ext cx="7772402" cy="297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Times New Roman" panose="02020603050405020304" pitchFamily="18" charset="0"/>
                  <a:ea typeface="+mn-ea"/>
                  <a:cs typeface="Times New Roman" panose="02020603050405020304" pitchFamily="18" charset="0"/>
                </a:rPr>
                <a:t>Calculation</a:t>
              </a:r>
              <a:r>
                <a:rPr lang="en-US" sz="1100" b="1" i="1" baseline="0">
                  <a:solidFill>
                    <a:schemeClr val="dk1"/>
                  </a:solidFill>
                  <a:effectLst/>
                  <a:latin typeface="Times New Roman" panose="02020603050405020304" pitchFamily="18" charset="0"/>
                  <a:ea typeface="+mn-ea"/>
                  <a:cs typeface="Times New Roman" panose="02020603050405020304" pitchFamily="18" charset="0"/>
                </a:rPr>
                <a:t> Notes for </a:t>
              </a:r>
              <a:r>
                <a:rPr lang="en-US" sz="1100" b="1" i="1">
                  <a:solidFill>
                    <a:schemeClr val="dk1"/>
                  </a:solidFill>
                  <a:effectLst/>
                  <a:latin typeface="Times New Roman" panose="02020603050405020304" pitchFamily="18" charset="0"/>
                  <a:ea typeface="+mn-ea"/>
                  <a:cs typeface="Times New Roman" panose="02020603050405020304" pitchFamily="18" charset="0"/>
                </a:rPr>
                <a:t>Offsite Upstream Groundwater to Offsite Adjacent and Downstream Groundwater Mass Discharge Scaling Factor</a:t>
              </a:r>
            </a:p>
            <a:p>
              <a:pPr/>
              <a:r>
                <a:rPr lang="en-US" sz="1100" i="0">
                  <a:solidFill>
                    <a:schemeClr val="dk1"/>
                  </a:solidFill>
                  <a:effectLst/>
                  <a:latin typeface="Cambria Math" panose="02040503050406030204" pitchFamily="18" charset="0"/>
                  <a:ea typeface="+mn-ea"/>
                  <a:cs typeface="+mn-cs"/>
                </a:rPr>
                <a:t>𝑓_</a:t>
              </a:r>
              <a:r>
                <a:rPr lang="en-US" sz="1100" b="0" i="0">
                  <a:solidFill>
                    <a:schemeClr val="dk1"/>
                  </a:solidFill>
                  <a:effectLst/>
                  <a:latin typeface="Cambria Math" panose="02040503050406030204" pitchFamily="18" charset="0"/>
                  <a:ea typeface="+mn-ea"/>
                  <a:cs typeface="+mn-cs"/>
                </a:rPr>
                <a:t>𝑔𝑤</a:t>
              </a:r>
              <a:r>
                <a:rPr lang="en-US" sz="1100" i="0">
                  <a:solidFill>
                    <a:schemeClr val="dk1"/>
                  </a:solidFill>
                  <a:effectLst/>
                  <a:latin typeface="Cambria Math" panose="02040503050406030204" pitchFamily="18" charset="0"/>
                  <a:ea typeface="+mn-ea"/>
                  <a:cs typeface="+mn-cs"/>
                </a:rPr>
                <a:t>=  (𝑙_(𝐶𝐹𝑅−𝑎𝑑𝑗)+2𝑙_(𝐶𝐹𝑅−𝑑))/〖2𝑙〗_(𝐶𝐹𝑅−𝑢𝑝)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where,</a:t>
              </a:r>
            </a:p>
            <a:p>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i="0">
                  <a:solidFill>
                    <a:schemeClr val="dk1"/>
                  </a:solidFill>
                  <a:effectLst/>
                  <a:latin typeface="Cambria Math" panose="02040503050406030204" pitchFamily="18" charset="0"/>
                  <a:ea typeface="+mn-ea"/>
                  <a:cs typeface="+mn-cs"/>
                </a:rPr>
                <a:t>𝑙_(𝐶𝐹𝑅−𝑎𝑑𝑗)</a:t>
              </a:r>
              <a:r>
                <a:rPr lang="en-US" sz="1100">
                  <a:solidFill>
                    <a:schemeClr val="dk1"/>
                  </a:solidFill>
                  <a:effectLst/>
                  <a:latin typeface="Times New Roman" panose="02020603050405020304" pitchFamily="18" charset="0"/>
                  <a:ea typeface="+mn-ea"/>
                  <a:cs typeface="Times New Roman" panose="02020603050405020304" pitchFamily="18" charset="0"/>
                </a:rPr>
                <a:t> = represents the length of the Cape Fear River adjacent to the Site (i.e. the east bank of the Cape Fear River opposite the Site) where Table 3+ PFAS have been detected in offsite groundwater within one mile of the river.</a:t>
              </a:r>
            </a:p>
            <a:p>
              <a:endParaRPr lang="en-US" sz="1100" i="1">
                <a:solidFill>
                  <a:schemeClr val="dk1"/>
                </a:solidFill>
                <a:effectLst/>
                <a:latin typeface="+mn-lt"/>
                <a:ea typeface="+mn-ea"/>
                <a:cs typeface="+mn-cs"/>
              </a:endParaRPr>
            </a:p>
            <a:p>
              <a:r>
                <a:rPr lang="en-US" sz="1100" i="0">
                  <a:solidFill>
                    <a:schemeClr val="dk1"/>
                  </a:solidFill>
                  <a:effectLst/>
                  <a:latin typeface="Cambria Math" panose="02040503050406030204" pitchFamily="18" charset="0"/>
                  <a:ea typeface="+mn-ea"/>
                  <a:cs typeface="+mn-cs"/>
                </a:rPr>
                <a:t>2𝑙_(𝐶𝐹𝑅−𝑑)</a:t>
              </a:r>
              <a:r>
                <a:rPr lang="en-US" sz="1100">
                  <a:solidFill>
                    <a:schemeClr val="dk1"/>
                  </a:solidFill>
                  <a:effectLst/>
                  <a:latin typeface="Times New Roman" panose="02020603050405020304" pitchFamily="18" charset="0"/>
                  <a:ea typeface="+mn-ea"/>
                  <a:cs typeface="Times New Roman" panose="02020603050405020304" pitchFamily="18" charset="0"/>
                </a:rPr>
                <a:t> = represents the length of the Cape Fear River downstream of the Site where Table 3+ PFAS have been detected in offsite groundwater within one mile of the river. This quantity is multiplied by two (2) as the river has two downstream sides (east and west) from which groundwater discharge can reach the Cape Fear River (adjacent only has one side, east).</a:t>
              </a:r>
            </a:p>
            <a:p>
              <a:endParaRPr lang="en-US" sz="1100" i="1">
                <a:solidFill>
                  <a:schemeClr val="dk1"/>
                </a:solidFill>
                <a:effectLst/>
                <a:latin typeface="+mn-lt"/>
                <a:ea typeface="+mn-ea"/>
                <a:cs typeface="+mn-cs"/>
              </a:endParaRPr>
            </a:p>
            <a:p>
              <a:r>
                <a:rPr lang="en-US" sz="1100" i="0">
                  <a:solidFill>
                    <a:schemeClr val="dk1"/>
                  </a:solidFill>
                  <a:effectLst/>
                  <a:latin typeface="Cambria Math" panose="02040503050406030204" pitchFamily="18" charset="0"/>
                  <a:ea typeface="+mn-ea"/>
                  <a:cs typeface="+mn-cs"/>
                </a:rPr>
                <a:t>2𝑙_(𝐶𝐹𝑅−𝑢𝑝)</a:t>
              </a:r>
              <a:r>
                <a:rPr lang="en-US" sz="1100">
                  <a:solidFill>
                    <a:schemeClr val="dk1"/>
                  </a:solidFill>
                  <a:effectLst/>
                  <a:latin typeface="Times New Roman" panose="02020603050405020304" pitchFamily="18" charset="0"/>
                  <a:ea typeface="+mn-ea"/>
                  <a:cs typeface="Times New Roman" panose="02020603050405020304" pitchFamily="18" charset="0"/>
                </a:rPr>
                <a:t> = represents the length of the Cape Fear River upstream of the Site where Table 3+ PFAS have been detected in offsite groundwater within one mile of the river. This quantity is multiplied by two (2) as the river has two upstream sides (east and west) from which groundwater discharge can reach the Cape Fear River (adjacent only has one side, east).</a:t>
              </a:r>
            </a:p>
            <a:p>
              <a:endParaRPr lang="en-US" sz="1100">
                <a:latin typeface="Times New Roman" panose="02020603050405020304" pitchFamily="18" charset="0"/>
                <a:cs typeface="Times New Roman" panose="02020603050405020304" pitchFamily="18" charset="0"/>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14</xdr:row>
      <xdr:rowOff>66675</xdr:rowOff>
    </xdr:from>
    <xdr:ext cx="7943850" cy="3709092"/>
    <xdr:sp macro="" textlink="">
      <xdr:nvSpPr>
        <xdr:cNvPr id="2" name="TextBox 1">
          <a:extLst>
            <a:ext uri="{FF2B5EF4-FFF2-40B4-BE49-F238E27FC236}">
              <a16:creationId xmlns:a16="http://schemas.microsoft.com/office/drawing/2014/main" id="{0A64161C-E7FD-4AD6-AF23-E34FC67530EA}"/>
            </a:ext>
          </a:extLst>
        </xdr:cNvPr>
        <xdr:cNvSpPr txBox="1"/>
      </xdr:nvSpPr>
      <xdr:spPr>
        <a:xfrm>
          <a:off x="0" y="3228975"/>
          <a:ext cx="7943850" cy="370909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Notes:</a:t>
          </a:r>
        </a:p>
        <a:p>
          <a:r>
            <a:rPr lang="en-US" sz="1100">
              <a:solidFill>
                <a:schemeClr val="tx1"/>
              </a:solidFill>
              <a:effectLst/>
              <a:latin typeface="+mn-lt"/>
              <a:ea typeface="+mn-ea"/>
              <a:cs typeface="+mn-cs"/>
            </a:rPr>
            <a:t>cfs</a:t>
          </a:r>
          <a:r>
            <a:rPr lang="en-US" sz="1100" baseline="0">
              <a:solidFill>
                <a:schemeClr val="tx1"/>
              </a:solidFill>
              <a:effectLst/>
              <a:latin typeface="+mn-lt"/>
              <a:ea typeface="+mn-ea"/>
              <a:cs typeface="+mn-cs"/>
            </a:rPr>
            <a:t> - cubc feet per second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travel time calculations were based on a calibrated hydrodynamic model using the Dynamic Solutions International (DSI) version of the Environmental Fluid Dynamics Code (EFDC). The model domain runs from downtown Fayetteville, North Carolina to Lock and Dam #1 near Kelly, North Carolina. The model was calibrated to flow data (from the USGS Gauges at William O. Huske Dam and Lock and Dam #1) and water surface elevation data (from the USGS Gauges at Fayetteville, NC and the William O. Huske Dam) for two periods: January-February 2017 and May-June 2018. </a:t>
          </a:r>
        </a:p>
        <a:p>
          <a:r>
            <a:rPr lang="en-US" sz="1100">
              <a:solidFill>
                <a:schemeClr val="tx1"/>
              </a:solidFill>
              <a:effectLst/>
              <a:latin typeface="+mn-lt"/>
              <a:ea typeface="+mn-ea"/>
              <a:cs typeface="+mn-cs"/>
            </a:rPr>
            <a:t>To estimate travel times from William O. Huske Dam to the Bladen Bluffs Intake, a dye release was modeled for 5 hours from Huske Dam at the following flow rates (Table 1; based on real flow data from calendar year 2017). Travel times reported are based on first arrival as defined by the point where the concentration at the arrival point reaches 10% of the maximum concentration at the indicated location.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Based on the results in Table 1, The following equations were developed as good “rule of thumb” predictors for travel time as a function of the average river flow during the dye release from the William</a:t>
          </a:r>
          <a:r>
            <a:rPr lang="en-US" sz="1100" baseline="0">
              <a:solidFill>
                <a:schemeClr val="tx1"/>
              </a:solidFill>
              <a:effectLst/>
              <a:latin typeface="+mn-lt"/>
              <a:ea typeface="+mn-ea"/>
              <a:cs typeface="+mn-cs"/>
            </a:rPr>
            <a:t> O. Huske Dam to the arrival points below</a:t>
          </a:r>
          <a:r>
            <a:rPr lang="en-US" sz="1100">
              <a:solidFill>
                <a:schemeClr val="tx1"/>
              </a:solidFill>
              <a:effectLst/>
              <a:latin typeface="+mn-lt"/>
              <a:ea typeface="+mn-ea"/>
              <a:cs typeface="+mn-cs"/>
            </a:rPr>
            <a:t>:</a:t>
          </a:r>
        </a:p>
        <a:p>
          <a:r>
            <a:rPr lang="en-US" sz="1100">
              <a:solidFill>
                <a:schemeClr val="tx1"/>
              </a:solidFill>
              <a:effectLst/>
              <a:latin typeface="+mn-lt"/>
              <a:ea typeface="+mn-ea"/>
              <a:cs typeface="+mn-cs"/>
            </a:rPr>
            <a:t>Travel Time to Bladen Bluffs Intake (hrs) = 8,826 * (1/Flow in cfs) + 1.530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0.997)</a:t>
          </a:r>
        </a:p>
        <a:p>
          <a:r>
            <a:rPr lang="en-US" sz="1100">
              <a:solidFill>
                <a:schemeClr val="tx1"/>
              </a:solidFill>
              <a:effectLst/>
              <a:latin typeface="+mn-lt"/>
              <a:ea typeface="+mn-ea"/>
              <a:cs typeface="+mn-cs"/>
            </a:rPr>
            <a:t>Travel Time to Tar Heel Ferry Road (hrs) = 13,422 * (1/Flow in cfs) + 2.019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0.997)</a:t>
          </a:r>
        </a:p>
        <a:p>
          <a:r>
            <a:rPr lang="en-US" sz="1100">
              <a:solidFill>
                <a:schemeClr val="tx1"/>
              </a:solidFill>
              <a:effectLst/>
              <a:latin typeface="+mn-lt"/>
              <a:ea typeface="+mn-ea"/>
              <a:cs typeface="+mn-cs"/>
            </a:rPr>
            <a:t>Travel Time to Kings Bluff Intake (hrs) = 148,123 * (1/Flow in cfs) + 22.708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0.943)</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Because travel times are much longer to King’s Bluff Intake, flow varies more from the time of release to the time of arrival. Therefore, it is more accurate to predict travel time based on the average flow for the duration of the travel time (as opposed to the average flow only for the 5-hr dye release). Using flow based on the average for the duration of the travel time yields the following rule of thumb:</a:t>
          </a:r>
        </a:p>
        <a:p>
          <a:r>
            <a:rPr lang="en-US" sz="1100">
              <a:solidFill>
                <a:schemeClr val="tx1"/>
              </a:solidFill>
              <a:effectLst/>
              <a:latin typeface="+mn-lt"/>
              <a:ea typeface="+mn-ea"/>
              <a:cs typeface="+mn-cs"/>
            </a:rPr>
            <a:t>Travel Time to Kings Bluff Intake (hrs) = 172,800 * (1/Flow in cfs) + 13.105          (R</a:t>
          </a:r>
          <a:r>
            <a:rPr lang="en-US" sz="1100" baseline="30000">
              <a:solidFill>
                <a:schemeClr val="tx1"/>
              </a:solidFill>
              <a:effectLst/>
              <a:latin typeface="+mn-lt"/>
              <a:ea typeface="+mn-ea"/>
              <a:cs typeface="+mn-cs"/>
            </a:rPr>
            <a:t>2</a:t>
          </a:r>
          <a:r>
            <a:rPr lang="en-US" sz="1100">
              <a:solidFill>
                <a:schemeClr val="tx1"/>
              </a:solidFill>
              <a:effectLst/>
              <a:latin typeface="+mn-lt"/>
              <a:ea typeface="+mn-ea"/>
              <a:cs typeface="+mn-cs"/>
            </a:rPr>
            <a:t>= 0.999)</a:t>
          </a:r>
        </a:p>
      </xdr:txBody>
    </xdr:sp>
    <xdr:clientData/>
  </xdr:oneCellAnchor>
  <xdr:twoCellAnchor>
    <xdr:from>
      <xdr:col>6</xdr:col>
      <xdr:colOff>638175</xdr:colOff>
      <xdr:row>14</xdr:row>
      <xdr:rowOff>23811</xdr:rowOff>
    </xdr:from>
    <xdr:to>
      <xdr:col>16</xdr:col>
      <xdr:colOff>209550</xdr:colOff>
      <xdr:row>34</xdr:row>
      <xdr:rowOff>57150</xdr:rowOff>
    </xdr:to>
    <xdr:graphicFrame macro="">
      <xdr:nvGraphicFramePr>
        <xdr:cNvPr id="3" name="Chart 2">
          <a:extLst>
            <a:ext uri="{FF2B5EF4-FFF2-40B4-BE49-F238E27FC236}">
              <a16:creationId xmlns:a16="http://schemas.microsoft.com/office/drawing/2014/main" id="{9105DD91-6695-4D85-A5A0-4ED02F7D5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jectsitesb.geosyntec.com/1/FWConsentOrder/Shared%20Documents/12%20-%20AOC%20Paragraph%2012/08%20-%20Mass%20Loading%20Model%20Assessment/02%20-%20Mass%20Loading%20Model/01%20-%20Mass%20Loading%20Model/Feb_May_June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ot"/>
      <sheetName val="Summary"/>
      <sheetName val="Total_PFAS"/>
      <sheetName val="Total_Table3+"/>
      <sheetName val="PFAS List"/>
      <sheetName val="HFPO-DA_OE"/>
      <sheetName val="PFMOAA_OE"/>
      <sheetName val="Table3+_OE "/>
      <sheetName val="Total PFAS_OE "/>
      <sheetName val="Total PFAS WO Table3+ OE"/>
      <sheetName val="Total Plots_OE "/>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Cathy Crea" id="{A3167F97-9541-466D-883F-B75F27F075C5}" userId="CCrea@Geosyntec.com" providerId="PeoplePicker"/>
  <person displayName="Matt Vanderkooy" id="{A15622FC-3337-4E15-A1F5-BE4916BF934B}" userId="S::MVanderkooy@geosyntec.com::9e6e14b6-bf2a-4317-ac2f-8665a7bf34f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 dT="2020-07-27T02:18:31.45" personId="{A15622FC-3337-4E15-A1F5-BE4916BF934B}" id="{4FA9DD21-B852-4125-AF8A-6544BCA2F620}">
    <text>@Cathy Crea - noting some hidden columns here. I suggest we unhide everything. That way we are less likely to have something slip our review and we don't give the potential perception of trying to hide somethign.</text>
    <mentions>
      <mention mentionpersonId="{A3167F97-9541-466D-883F-B75F27F075C5}" mentionId="{68D53DDA-DD06-40E1-919B-71F62F77551E}" startIndex="0" length="11"/>
    </mentions>
  </threadedComment>
  <threadedComment ref="F2" dT="2020-07-27T12:34:31.23" personId="{A15622FC-3337-4E15-A1F5-BE4916BF934B}" id="{A43675BB-13CA-4A73-B4A0-3426EC5CCC3F}" parentId="{4FA9DD21-B852-4125-AF8A-6544BCA2F620}">
    <text>Sometihng about rounding. Cathy to investigate.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8C41E-C873-4476-B333-45254F19F3F8}">
  <dimension ref="A3:B26"/>
  <sheetViews>
    <sheetView tabSelected="1" zoomScale="85" zoomScaleNormal="85" workbookViewId="0">
      <selection activeCell="B28" sqref="B28"/>
    </sheetView>
  </sheetViews>
  <sheetFormatPr defaultRowHeight="15"/>
  <cols>
    <col min="1" max="1" width="36" customWidth="1"/>
    <col min="2" max="2" width="111" customWidth="1"/>
  </cols>
  <sheetData>
    <row r="3" spans="1:2">
      <c r="A3" s="107" t="s">
        <v>0</v>
      </c>
      <c r="B3" s="108">
        <v>44074</v>
      </c>
    </row>
    <row r="4" spans="1:2">
      <c r="A4" s="107" t="s">
        <v>1</v>
      </c>
      <c r="B4" s="106" t="s">
        <v>2</v>
      </c>
    </row>
    <row r="5" spans="1:2" ht="105">
      <c r="A5" s="115" t="s">
        <v>3</v>
      </c>
      <c r="B5" s="116" t="s">
        <v>4</v>
      </c>
    </row>
    <row r="6" spans="1:2">
      <c r="A6" s="117" t="s">
        <v>5</v>
      </c>
      <c r="B6" s="117" t="s">
        <v>6</v>
      </c>
    </row>
    <row r="7" spans="1:2" ht="30">
      <c r="A7" s="125" t="s">
        <v>7</v>
      </c>
      <c r="B7" s="118" t="s">
        <v>8</v>
      </c>
    </row>
    <row r="8" spans="1:2">
      <c r="A8" s="127" t="s">
        <v>9</v>
      </c>
      <c r="B8" s="120" t="s">
        <v>10</v>
      </c>
    </row>
    <row r="9" spans="1:2" ht="30">
      <c r="A9" s="214" t="s">
        <v>11</v>
      </c>
      <c r="B9" s="215" t="s">
        <v>12</v>
      </c>
    </row>
    <row r="10" spans="1:2">
      <c r="A10" s="129" t="s">
        <v>13</v>
      </c>
      <c r="B10" s="121" t="s">
        <v>14</v>
      </c>
    </row>
    <row r="11" spans="1:2" s="22" customFormat="1">
      <c r="A11" s="349" t="s">
        <v>15</v>
      </c>
      <c r="B11" s="350" t="s">
        <v>16</v>
      </c>
    </row>
    <row r="12" spans="1:2">
      <c r="A12" s="130" t="s">
        <v>17</v>
      </c>
      <c r="B12" s="122" t="s">
        <v>18</v>
      </c>
    </row>
    <row r="13" spans="1:2" ht="30">
      <c r="A13" s="130" t="s">
        <v>19</v>
      </c>
      <c r="B13" s="122" t="s">
        <v>20</v>
      </c>
    </row>
    <row r="14" spans="1:2">
      <c r="A14" s="126" t="s">
        <v>21</v>
      </c>
      <c r="B14" s="119" t="s">
        <v>22</v>
      </c>
    </row>
    <row r="15" spans="1:2">
      <c r="A15" s="126" t="s">
        <v>23</v>
      </c>
      <c r="B15" s="119" t="s">
        <v>24</v>
      </c>
    </row>
    <row r="16" spans="1:2" ht="30">
      <c r="A16" s="126" t="s">
        <v>25</v>
      </c>
      <c r="B16" s="119" t="s">
        <v>26</v>
      </c>
    </row>
    <row r="17" spans="1:2">
      <c r="A17" s="128" t="s">
        <v>27</v>
      </c>
      <c r="B17" s="123" t="s">
        <v>28</v>
      </c>
    </row>
    <row r="18" spans="1:2">
      <c r="A18" s="128" t="s">
        <v>29</v>
      </c>
      <c r="B18" s="123" t="s">
        <v>30</v>
      </c>
    </row>
    <row r="19" spans="1:2">
      <c r="A19" s="128" t="s">
        <v>31</v>
      </c>
      <c r="B19" s="123" t="s">
        <v>32</v>
      </c>
    </row>
    <row r="20" spans="1:2">
      <c r="A20" s="128" t="s">
        <v>33</v>
      </c>
      <c r="B20" s="123" t="s">
        <v>34</v>
      </c>
    </row>
    <row r="21" spans="1:2">
      <c r="A21" s="128" t="s">
        <v>35</v>
      </c>
      <c r="B21" s="123" t="s">
        <v>36</v>
      </c>
    </row>
    <row r="22" spans="1:2" s="22" customFormat="1" ht="30">
      <c r="A22" s="197" t="s">
        <v>37</v>
      </c>
      <c r="B22" s="198" t="s">
        <v>38</v>
      </c>
    </row>
    <row r="23" spans="1:2">
      <c r="A23" s="212" t="s">
        <v>39</v>
      </c>
      <c r="B23" s="213" t="s">
        <v>40</v>
      </c>
    </row>
    <row r="24" spans="1:2" ht="30">
      <c r="A24" s="131" t="s">
        <v>41</v>
      </c>
      <c r="B24" s="124" t="s">
        <v>42</v>
      </c>
    </row>
    <row r="25" spans="1:2" s="22" customFormat="1">
      <c r="A25" s="131" t="s">
        <v>43</v>
      </c>
      <c r="B25" s="124" t="s">
        <v>44</v>
      </c>
    </row>
    <row r="26" spans="1:2" s="22" customFormat="1">
      <c r="A26" s="131" t="s">
        <v>45</v>
      </c>
      <c r="B26" s="124" t="s">
        <v>46</v>
      </c>
    </row>
  </sheetData>
  <sheetProtection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B08E-2944-42F3-A52A-5C5ABBF166E6}">
  <sheetPr>
    <tabColor theme="8" tint="0.59999389629810485"/>
  </sheetPr>
  <dimension ref="A1:U24"/>
  <sheetViews>
    <sheetView view="pageBreakPreview" topLeftCell="E1" zoomScale="70" zoomScaleNormal="70" zoomScaleSheetLayoutView="70" zoomScalePageLayoutView="70" workbookViewId="0">
      <selection activeCell="K44" sqref="K44"/>
    </sheetView>
  </sheetViews>
  <sheetFormatPr defaultColWidth="8.7109375" defaultRowHeight="15.75"/>
  <cols>
    <col min="1" max="3" width="16.5703125" style="53" customWidth="1"/>
    <col min="4" max="4" width="14" style="53" customWidth="1"/>
    <col min="5" max="13" width="16.5703125" style="53" customWidth="1"/>
    <col min="14" max="17" width="19.140625" style="52" customWidth="1"/>
    <col min="18" max="20" width="19.140625" style="53" customWidth="1"/>
    <col min="21" max="21" width="19.140625" style="52" customWidth="1"/>
    <col min="22" max="16384" width="8.7109375" style="52"/>
  </cols>
  <sheetData>
    <row r="1" spans="1:21" ht="15.6" customHeight="1">
      <c r="N1" s="431" t="s">
        <v>47</v>
      </c>
      <c r="O1" s="431"/>
      <c r="P1" s="431"/>
      <c r="Q1" s="431"/>
      <c r="R1" s="431" t="s">
        <v>557</v>
      </c>
      <c r="S1" s="431"/>
      <c r="T1" s="431"/>
      <c r="U1" s="431"/>
    </row>
    <row r="2" spans="1:21" ht="81.75">
      <c r="A2" s="76" t="s">
        <v>558</v>
      </c>
      <c r="B2" s="76" t="s">
        <v>559</v>
      </c>
      <c r="C2" s="76" t="s">
        <v>53</v>
      </c>
      <c r="D2" s="76" t="s">
        <v>560</v>
      </c>
      <c r="E2" s="76" t="s">
        <v>561</v>
      </c>
      <c r="F2" s="76" t="s">
        <v>562</v>
      </c>
      <c r="G2" s="76" t="s">
        <v>563</v>
      </c>
      <c r="H2" s="76" t="s">
        <v>564</v>
      </c>
      <c r="I2" s="109" t="s">
        <v>565</v>
      </c>
      <c r="J2" s="109" t="s">
        <v>566</v>
      </c>
      <c r="K2" s="76" t="s">
        <v>567</v>
      </c>
      <c r="L2" s="76" t="s">
        <v>568</v>
      </c>
      <c r="M2" s="76" t="s">
        <v>569</v>
      </c>
      <c r="N2" s="76" t="s">
        <v>570</v>
      </c>
      <c r="O2" s="76" t="s">
        <v>571</v>
      </c>
      <c r="P2" s="76" t="s">
        <v>572</v>
      </c>
      <c r="Q2" s="76" t="s">
        <v>573</v>
      </c>
      <c r="R2" s="76" t="s">
        <v>570</v>
      </c>
      <c r="S2" s="76" t="s">
        <v>571</v>
      </c>
      <c r="T2" s="76" t="s">
        <v>572</v>
      </c>
      <c r="U2" s="76" t="s">
        <v>573</v>
      </c>
    </row>
    <row r="3" spans="1:21">
      <c r="A3" s="432">
        <v>1</v>
      </c>
      <c r="B3" s="89" t="s">
        <v>188</v>
      </c>
      <c r="C3" s="433">
        <f>VLOOKUP(B3,'Total Table 3+ Data'!B:F,5,FALSE)</f>
        <v>43874</v>
      </c>
      <c r="D3" s="434">
        <v>1148</v>
      </c>
      <c r="E3" s="434">
        <f>ROUND(D3,-1)</f>
        <v>1150</v>
      </c>
      <c r="F3" s="434">
        <v>13380</v>
      </c>
      <c r="G3" s="434">
        <f>ROUND(F3,-2)</f>
        <v>13400</v>
      </c>
      <c r="H3" s="110">
        <f>F3/D3</f>
        <v>11.655052264808363</v>
      </c>
      <c r="I3" s="111">
        <v>20</v>
      </c>
      <c r="J3" s="435">
        <v>497.40260000000001</v>
      </c>
      <c r="K3" s="436">
        <f>I3/J3*0.8</f>
        <v>3.2167101659701818E-2</v>
      </c>
      <c r="L3" s="86">
        <f>VLOOKUP(A3,'Onsite GW HCond'!$M$3:$P$11,3,FALSE)</f>
        <v>1.8E-5</v>
      </c>
      <c r="M3" s="86">
        <f>VLOOKUP(A3,'Onsite GW HCond'!$M$3:$P$11,4,FALSE)</f>
        <v>3.2094190474699969E-4</v>
      </c>
      <c r="N3" s="437">
        <f>VLOOKUP(B3,'Total Table 3+ Data'!M:S,7,FALSE)</f>
        <v>12000</v>
      </c>
      <c r="O3" s="434">
        <f>AVERAGE(N3:N4)</f>
        <v>29000</v>
      </c>
      <c r="P3" s="438">
        <f>$E3*$H3*L3*$K3*$O3*28.3168/10^6</f>
        <v>6.372923037184508E-3</v>
      </c>
      <c r="Q3" s="439">
        <f>$E3*$H3*M3*$K3*$O3*28.3168/10^6</f>
        <v>0.11362989213111277</v>
      </c>
      <c r="R3" s="437">
        <f>VLOOKUP(B3,'Total Table 3+ Data'!B:H,7,FALSE)</f>
        <v>13000</v>
      </c>
      <c r="S3" s="434">
        <f>AVERAGE(R3:R4)</f>
        <v>30000</v>
      </c>
      <c r="T3" s="440">
        <f>$E3*$H3*L3*$K3*$S3*28.3168/10^6</f>
        <v>6.5926790039839735E-3</v>
      </c>
      <c r="U3" s="439">
        <f>$E3*$H3*M3*$K3*$S3*28.3168/10^6</f>
        <v>0.11754816427356492</v>
      </c>
    </row>
    <row r="4" spans="1:21">
      <c r="A4" s="432"/>
      <c r="B4" s="89" t="s">
        <v>186</v>
      </c>
      <c r="C4" s="433">
        <f>VLOOKUP(B4,'Total Table 3+ Data'!B:F,5,FALSE)</f>
        <v>43875</v>
      </c>
      <c r="D4" s="62"/>
      <c r="E4" s="62"/>
      <c r="F4" s="62"/>
      <c r="G4" s="62"/>
      <c r="H4" s="441"/>
      <c r="I4" s="62"/>
      <c r="J4" s="442"/>
      <c r="K4" s="443"/>
      <c r="L4" s="60"/>
      <c r="M4" s="60"/>
      <c r="N4" s="437">
        <f>VLOOKUP(B4,'Total Table 3+ Data'!M:S,7,FALSE)</f>
        <v>46000</v>
      </c>
      <c r="O4" s="61"/>
      <c r="P4" s="59"/>
      <c r="Q4" s="59"/>
      <c r="R4" s="437">
        <f>VLOOKUP(B4,'Total Table 3+ Data'!B:H,7,FALSE)</f>
        <v>47000</v>
      </c>
      <c r="S4" s="61"/>
      <c r="T4" s="59"/>
      <c r="U4" s="59"/>
    </row>
    <row r="5" spans="1:21">
      <c r="A5" s="89">
        <v>2</v>
      </c>
      <c r="B5" s="89" t="s">
        <v>190</v>
      </c>
      <c r="C5" s="433">
        <f>VLOOKUP(B5,'Total Table 3+ Data'!B:F,5,FALSE)</f>
        <v>43885</v>
      </c>
      <c r="D5" s="88">
        <v>873</v>
      </c>
      <c r="E5" s="88">
        <f>D5</f>
        <v>873</v>
      </c>
      <c r="F5" s="434">
        <v>11010</v>
      </c>
      <c r="G5" s="434">
        <f>F5</f>
        <v>11010</v>
      </c>
      <c r="H5" s="444">
        <f>F5/D5</f>
        <v>12.61168384879725</v>
      </c>
      <c r="I5" s="62">
        <v>20</v>
      </c>
      <c r="J5" s="112">
        <v>454.56670000000003</v>
      </c>
      <c r="K5" s="445">
        <f>I5/J5</f>
        <v>4.3997943536119119E-2</v>
      </c>
      <c r="L5" s="86">
        <f>VLOOKUP(A5,'Onsite GW HCond'!$M$3:$P$11,3,FALSE)</f>
        <v>1.8E-5</v>
      </c>
      <c r="M5" s="86">
        <f>VLOOKUP(A5,'Onsite GW HCond'!$M$3:$P$11,4,FALSE)</f>
        <v>3.2094190474699969E-4</v>
      </c>
      <c r="N5" s="437">
        <f>VLOOKUP(B5,'Total Table 3+ Data'!M:S,7,FALSE)</f>
        <v>40000</v>
      </c>
      <c r="O5" s="437">
        <f>N5</f>
        <v>40000</v>
      </c>
      <c r="P5" s="438">
        <f t="shared" ref="P5:Q9" si="0">$E5*$H5*L5*$K5*$O5*28.3168/10^6</f>
        <v>9.8763476057529085E-3</v>
      </c>
      <c r="Q5" s="439">
        <f t="shared" si="0"/>
        <v>0.17609632291854488</v>
      </c>
      <c r="R5" s="437">
        <f>VLOOKUP(B5,'Total Table 3+ Data'!B:H,7,FALSE)</f>
        <v>41000</v>
      </c>
      <c r="S5" s="437">
        <f>R5</f>
        <v>41000</v>
      </c>
      <c r="T5" s="440">
        <f t="shared" ref="T5:U9" si="1">$E5*$H5*L5*$K5*$S5*28.3168/10^6</f>
        <v>1.012325629589673E-2</v>
      </c>
      <c r="U5" s="439">
        <f t="shared" si="1"/>
        <v>0.18049873099150851</v>
      </c>
    </row>
    <row r="6" spans="1:21">
      <c r="A6" s="89">
        <v>3</v>
      </c>
      <c r="B6" s="89" t="s">
        <v>176</v>
      </c>
      <c r="C6" s="433">
        <f>VLOOKUP(B6,'Total Table 3+ Data'!B:F,5,FALSE)</f>
        <v>43885</v>
      </c>
      <c r="D6" s="157">
        <v>875</v>
      </c>
      <c r="E6" s="88">
        <f>D6</f>
        <v>875</v>
      </c>
      <c r="F6" s="155">
        <v>5560</v>
      </c>
      <c r="G6" s="434">
        <f>F6</f>
        <v>5560</v>
      </c>
      <c r="H6" s="446">
        <f>F6/D6</f>
        <v>6.3542857142857141</v>
      </c>
      <c r="I6" s="89">
        <v>20</v>
      </c>
      <c r="J6" s="113">
        <v>717.04949999999997</v>
      </c>
      <c r="K6" s="445">
        <f>I6/J6</f>
        <v>2.7892077185745198E-2</v>
      </c>
      <c r="L6" s="86">
        <f>VLOOKUP(A6,'Onsite GW HCond'!$M$3:$P$11,3,FALSE)</f>
        <v>2.9999999999999997E-4</v>
      </c>
      <c r="M6" s="86">
        <f>VLOOKUP(A6,'Onsite GW HCond'!$M$3:$P$11,4,FALSE)</f>
        <v>3.9618033667649424E-4</v>
      </c>
      <c r="N6" s="437">
        <f>VLOOKUP(B6,'Total Table 3+ Data'!M:S,7,FALSE)</f>
        <v>80000</v>
      </c>
      <c r="O6" s="437">
        <f>N6</f>
        <v>80000</v>
      </c>
      <c r="P6" s="439">
        <f t="shared" si="0"/>
        <v>0.10539282970004163</v>
      </c>
      <c r="Q6" s="439">
        <f t="shared" si="0"/>
        <v>0.13918188917950305</v>
      </c>
      <c r="R6" s="437">
        <f>VLOOKUP(B6,'Total Table 3+ Data'!B:H,7,FALSE)</f>
        <v>82000</v>
      </c>
      <c r="S6" s="437">
        <f>R6</f>
        <v>82000</v>
      </c>
      <c r="T6" s="440">
        <f t="shared" si="1"/>
        <v>0.10802765044254269</v>
      </c>
      <c r="U6" s="439">
        <f t="shared" si="1"/>
        <v>0.14266143640899062</v>
      </c>
    </row>
    <row r="7" spans="1:21">
      <c r="A7" s="89">
        <v>4</v>
      </c>
      <c r="B7" s="89" t="s">
        <v>178</v>
      </c>
      <c r="C7" s="433">
        <f>VLOOKUP(B7,'Total Table 3+ Data'!B:F,5,FALSE)</f>
        <v>43886</v>
      </c>
      <c r="D7" s="157">
        <v>729</v>
      </c>
      <c r="E7" s="88">
        <f>D7</f>
        <v>729</v>
      </c>
      <c r="F7" s="155">
        <v>8340</v>
      </c>
      <c r="G7" s="434">
        <f>F7</f>
        <v>8340</v>
      </c>
      <c r="H7" s="447">
        <f>F7/D7</f>
        <v>11.440329218106996</v>
      </c>
      <c r="I7" s="89">
        <v>20</v>
      </c>
      <c r="J7" s="113">
        <v>717.04949999999997</v>
      </c>
      <c r="K7" s="448">
        <f>I7/J7</f>
        <v>2.7892077185745198E-2</v>
      </c>
      <c r="L7" s="86">
        <f>VLOOKUP(A7,'Onsite GW HCond'!$M$3:$P$11,3,FALSE)</f>
        <v>2.0000000000000002E-5</v>
      </c>
      <c r="M7" s="86">
        <f>VLOOKUP(A7,'Onsite GW HCond'!$M$3:$P$11,4,FALSE)</f>
        <v>4.6218969477458372E-5</v>
      </c>
      <c r="N7" s="437">
        <f>VLOOKUP(B7,'Total Table 3+ Data'!M:S,7,FALSE)</f>
        <v>220000</v>
      </c>
      <c r="O7" s="437">
        <f>N7</f>
        <v>220000</v>
      </c>
      <c r="P7" s="440">
        <f t="shared" si="0"/>
        <v>2.8983028167511454E-2</v>
      </c>
      <c r="Q7" s="440">
        <f t="shared" si="0"/>
        <v>6.6978284711926392E-2</v>
      </c>
      <c r="R7" s="437">
        <f>VLOOKUP(B7,'Total Table 3+ Data'!B:H,7,FALSE)</f>
        <v>230000</v>
      </c>
      <c r="S7" s="437">
        <f>R7</f>
        <v>230000</v>
      </c>
      <c r="T7" s="440">
        <f t="shared" si="1"/>
        <v>3.0300438538761972E-2</v>
      </c>
      <c r="U7" s="439">
        <f t="shared" si="1"/>
        <v>7.0022752198832139E-2</v>
      </c>
    </row>
    <row r="8" spans="1:21">
      <c r="A8" s="89">
        <v>5</v>
      </c>
      <c r="B8" s="89" t="s">
        <v>206</v>
      </c>
      <c r="C8" s="433">
        <f>VLOOKUP(B8,'Total Table 3+ Data'!B:F,5,FALSE)</f>
        <v>43881</v>
      </c>
      <c r="D8" s="88">
        <v>656</v>
      </c>
      <c r="E8" s="88">
        <f>D8</f>
        <v>656</v>
      </c>
      <c r="F8" s="434">
        <v>15240</v>
      </c>
      <c r="G8" s="434">
        <f>ROUND(F8,-2)</f>
        <v>15200</v>
      </c>
      <c r="H8" s="444">
        <f>F8/D8</f>
        <v>23.23170731707317</v>
      </c>
      <c r="I8" s="111">
        <v>20</v>
      </c>
      <c r="J8" s="114">
        <v>753.63049999999998</v>
      </c>
      <c r="K8" s="445">
        <f>I8/J8</f>
        <v>2.6538204066847083E-2</v>
      </c>
      <c r="L8" s="86">
        <f>VLOOKUP(A8,'Onsite GW HCond'!$M$3:$P$11,3,FALSE)</f>
        <v>1.8E-5</v>
      </c>
      <c r="M8" s="86">
        <f>VLOOKUP(A8,'Onsite GW HCond'!$M$3:$P$11,4,FALSE)</f>
        <v>3.2094190474699969E-4</v>
      </c>
      <c r="N8" s="437">
        <f>VLOOKUP(B8,'Total Table 3+ Data'!M:S,7,FALSE)</f>
        <v>250000</v>
      </c>
      <c r="O8" s="437">
        <f>N8</f>
        <v>250000</v>
      </c>
      <c r="P8" s="440">
        <f t="shared" si="0"/>
        <v>5.1536293820380157E-2</v>
      </c>
      <c r="Q8" s="439">
        <f t="shared" si="0"/>
        <v>0.91889757235076863</v>
      </c>
      <c r="R8" s="437">
        <f>VLOOKUP(B8,'Total Table 3+ Data'!B:H,7,FALSE)</f>
        <v>250000</v>
      </c>
      <c r="S8" s="437">
        <f>R8</f>
        <v>250000</v>
      </c>
      <c r="T8" s="440">
        <f t="shared" si="1"/>
        <v>5.1536293820380157E-2</v>
      </c>
      <c r="U8" s="439">
        <f t="shared" si="1"/>
        <v>0.91889757235076863</v>
      </c>
    </row>
    <row r="9" spans="1:21">
      <c r="A9" s="432">
        <v>6</v>
      </c>
      <c r="B9" s="89" t="s">
        <v>194</v>
      </c>
      <c r="C9" s="433">
        <f>VLOOKUP(B9,'Total Table 3+ Data'!B:F,5,FALSE)</f>
        <v>43880</v>
      </c>
      <c r="D9" s="88">
        <v>524</v>
      </c>
      <c r="E9" s="88">
        <f>D9</f>
        <v>524</v>
      </c>
      <c r="F9" s="434">
        <v>15960</v>
      </c>
      <c r="G9" s="434">
        <f>ROUND(F9,-2)</f>
        <v>16000</v>
      </c>
      <c r="H9" s="110">
        <f>F9/D9</f>
        <v>30.458015267175572</v>
      </c>
      <c r="I9" s="111">
        <v>20</v>
      </c>
      <c r="J9" s="435">
        <v>753.63049999999998</v>
      </c>
      <c r="K9" s="436">
        <f>I9/J9</f>
        <v>2.6538204066847083E-2</v>
      </c>
      <c r="L9" s="86">
        <f>VLOOKUP(A9,'Onsite GW HCond'!$M$3:$P$11,3,FALSE)</f>
        <v>1.8E-5</v>
      </c>
      <c r="M9" s="86">
        <f>VLOOKUP(A9,'Onsite GW HCond'!$M$3:$P$11,4,FALSE)</f>
        <v>3.2094190474699969E-4</v>
      </c>
      <c r="N9" s="437">
        <f>VLOOKUP(B9,'Total Table 3+ Data'!M:S,7,FALSE)</f>
        <v>130000</v>
      </c>
      <c r="O9" s="434">
        <f>AVERAGE(N9:N10)</f>
        <v>180000</v>
      </c>
      <c r="P9" s="440">
        <f t="shared" si="0"/>
        <v>3.8859177135744903E-2</v>
      </c>
      <c r="Q9" s="439">
        <f t="shared" si="0"/>
        <v>0.6928632403803906</v>
      </c>
      <c r="R9" s="437">
        <f>VLOOKUP(B9,'Total Table 3+ Data'!B:H,7,FALSE)</f>
        <v>140000</v>
      </c>
      <c r="S9" s="434">
        <f>AVERAGE(R9:R10)</f>
        <v>185000</v>
      </c>
      <c r="T9" s="440">
        <f t="shared" si="1"/>
        <v>3.9938598722848925E-2</v>
      </c>
      <c r="U9" s="439">
        <f t="shared" si="1"/>
        <v>0.71210944150206812</v>
      </c>
    </row>
    <row r="10" spans="1:21">
      <c r="A10" s="432"/>
      <c r="B10" s="89" t="s">
        <v>192</v>
      </c>
      <c r="C10" s="433">
        <f>VLOOKUP(B10,'Total Table 3+ Data'!B:F,5,FALSE)</f>
        <v>43880</v>
      </c>
      <c r="D10" s="62"/>
      <c r="E10" s="62"/>
      <c r="F10" s="62"/>
      <c r="G10" s="62"/>
      <c r="H10" s="441"/>
      <c r="I10" s="62"/>
      <c r="J10" s="442"/>
      <c r="K10" s="443"/>
      <c r="L10" s="60"/>
      <c r="M10" s="60"/>
      <c r="N10" s="437">
        <f>VLOOKUP(B10,'Total Table 3+ Data'!M:S,7,FALSE)</f>
        <v>230000</v>
      </c>
      <c r="O10" s="61"/>
      <c r="P10" s="59"/>
      <c r="Q10" s="58"/>
      <c r="R10" s="437">
        <f>VLOOKUP(B10,'Total Table 3+ Data'!B:H,7,FALSE)</f>
        <v>230000</v>
      </c>
      <c r="S10" s="61"/>
      <c r="T10" s="59"/>
      <c r="U10" s="58"/>
    </row>
    <row r="11" spans="1:21">
      <c r="A11" s="89">
        <v>7</v>
      </c>
      <c r="B11" s="57" t="s">
        <v>184</v>
      </c>
      <c r="C11" s="433">
        <f>VLOOKUP(B11,'Total Table 3+ Data'!B:F,5,FALSE)</f>
        <v>43880</v>
      </c>
      <c r="D11" s="157">
        <v>887</v>
      </c>
      <c r="E11" s="157">
        <f>D11</f>
        <v>887</v>
      </c>
      <c r="F11" s="155">
        <v>17220</v>
      </c>
      <c r="G11" s="155">
        <f>ROUND(F11,-2)</f>
        <v>17200</v>
      </c>
      <c r="H11" s="447">
        <v>19.413754227733936</v>
      </c>
      <c r="I11" s="62">
        <v>20</v>
      </c>
      <c r="J11" s="112">
        <v>826.89970000000005</v>
      </c>
      <c r="K11" s="448">
        <f>I11/J11</f>
        <v>2.4186730264867673E-2</v>
      </c>
      <c r="L11" s="86">
        <f>VLOOKUP(A11,'Onsite GW HCond'!$M$3:$P$11,3,FALSE)</f>
        <v>1.8E-5</v>
      </c>
      <c r="M11" s="86">
        <f>VLOOKUP(A11,'Onsite GW HCond'!$M$3:$P$11,4,FALSE)</f>
        <v>4.7603199308612167E-5</v>
      </c>
      <c r="N11" s="437">
        <f>VLOOKUP(B11,'Total Table 3+ Data'!M:S,7,FALSE)</f>
        <v>350000</v>
      </c>
      <c r="O11" s="437">
        <f>N11</f>
        <v>350000</v>
      </c>
      <c r="P11" s="440">
        <f>$E11*$H11*L11*$K11*$O11*28.3168/10^6</f>
        <v>7.4301063715466339E-2</v>
      </c>
      <c r="Q11" s="439">
        <f>$E11*$H11*M11*$K11*$O11*28.3168/10^6</f>
        <v>0.19649824138273531</v>
      </c>
      <c r="R11" s="437">
        <f>VLOOKUP(B11,'Total Table 3+ Data'!B:H,7,FALSE)</f>
        <v>350000</v>
      </c>
      <c r="S11" s="437">
        <f>R11</f>
        <v>350000</v>
      </c>
      <c r="T11" s="440">
        <f>$E11*$H11*L11*$K11*$S11*28.3168/10^6</f>
        <v>7.4301063715466339E-2</v>
      </c>
      <c r="U11" s="439">
        <f>$E11*$H11*M11*$K11*$S11*28.3168/10^6</f>
        <v>0.19649824138273531</v>
      </c>
    </row>
    <row r="12" spans="1:21">
      <c r="A12" s="89">
        <v>8</v>
      </c>
      <c r="B12" s="89" t="s">
        <v>204</v>
      </c>
      <c r="C12" s="433">
        <f>VLOOKUP(B12,'Total Table 3+ Data'!B:F,5,FALSE)</f>
        <v>43874</v>
      </c>
      <c r="D12" s="155">
        <v>1986</v>
      </c>
      <c r="E12" s="155">
        <f>ROUND(D12,-1)</f>
        <v>1990</v>
      </c>
      <c r="F12" s="155">
        <v>56300</v>
      </c>
      <c r="G12" s="155">
        <f>ROUND(F12,-2)</f>
        <v>56300</v>
      </c>
      <c r="H12" s="447">
        <f>F12/D12</f>
        <v>28.348439073514601</v>
      </c>
      <c r="I12" s="89">
        <v>20</v>
      </c>
      <c r="J12" s="113">
        <v>826.89970000000005</v>
      </c>
      <c r="K12" s="445">
        <f>I12/J12</f>
        <v>2.4186730264867673E-2</v>
      </c>
      <c r="L12" s="86">
        <f>VLOOKUP(A12,'Onsite GW HCond'!$M$3:$P$11,3,FALSE)</f>
        <v>1.8E-5</v>
      </c>
      <c r="M12" s="86">
        <f>VLOOKUP(A12,'Onsite GW HCond'!$M$3:$P$11,4,FALSE)</f>
        <v>3.2094190474699969E-4</v>
      </c>
      <c r="N12" s="437">
        <f>VLOOKUP(B12,'Total Table 3+ Data'!M:S,7,FALSE)</f>
        <v>680000</v>
      </c>
      <c r="O12" s="437">
        <f>N12</f>
        <v>680000</v>
      </c>
      <c r="P12" s="439">
        <f>$E12*$H12*L12*$K12*$O12*28.3168/10^6</f>
        <v>0.4729170584779534</v>
      </c>
      <c r="Q12" s="449">
        <f>$E12*$H12*M12*$K12*$O12*28.3168/10^6</f>
        <v>8.4321611964034773</v>
      </c>
      <c r="R12" s="437">
        <f>VLOOKUP(B12,'Total Table 3+ Data'!B:H,7,FALSE)</f>
        <v>680000</v>
      </c>
      <c r="S12" s="437">
        <f>R12</f>
        <v>680000</v>
      </c>
      <c r="T12" s="440">
        <f>$E12*$H12*L12*$K12*$S12*28.3168/10^6</f>
        <v>0.4729170584779534</v>
      </c>
      <c r="U12" s="439">
        <f>$E12*$H12*M12*$K12*$S12*28.3168/10^6</f>
        <v>8.4321611964034773</v>
      </c>
    </row>
    <row r="13" spans="1:21">
      <c r="A13" s="151" t="s">
        <v>552</v>
      </c>
      <c r="B13" s="56"/>
      <c r="C13" s="56"/>
      <c r="D13" s="56"/>
      <c r="E13" s="56"/>
      <c r="F13" s="56"/>
      <c r="G13" s="56"/>
      <c r="H13" s="56"/>
      <c r="I13" s="56"/>
      <c r="J13" s="56"/>
      <c r="K13" s="56"/>
      <c r="L13" s="56"/>
      <c r="P13" s="450">
        <f>SUM(P3:P12)</f>
        <v>0.78823872166003528</v>
      </c>
      <c r="Q13" s="451">
        <f>SUM(Q3:Q12)</f>
        <v>10.736306639458459</v>
      </c>
      <c r="R13" s="56"/>
      <c r="T13" s="450">
        <f>SUM(T3:T12)</f>
        <v>0.79373703901783421</v>
      </c>
      <c r="U13" s="451">
        <f>SUM(U3:U12)</f>
        <v>10.770397535511945</v>
      </c>
    </row>
    <row r="14" spans="1:21">
      <c r="A14" s="77"/>
      <c r="B14" s="56"/>
      <c r="C14" s="56"/>
      <c r="D14" s="56"/>
      <c r="E14" s="56"/>
      <c r="F14" s="56"/>
      <c r="G14" s="56"/>
      <c r="H14" s="56"/>
      <c r="I14" s="56"/>
      <c r="J14" s="56"/>
      <c r="K14" s="56"/>
      <c r="L14" s="56"/>
      <c r="P14" s="78"/>
      <c r="Q14" s="78"/>
      <c r="R14" s="56"/>
      <c r="T14" s="78"/>
      <c r="U14" s="78"/>
    </row>
    <row r="15" spans="1:21">
      <c r="A15" s="55" t="s">
        <v>574</v>
      </c>
      <c r="T15" s="52"/>
    </row>
    <row r="16" spans="1:21">
      <c r="A16" s="54" t="s">
        <v>575</v>
      </c>
      <c r="T16" s="52"/>
    </row>
    <row r="17" spans="1:1">
      <c r="A17" s="54" t="s">
        <v>576</v>
      </c>
    </row>
    <row r="18" spans="1:1">
      <c r="A18" s="54" t="s">
        <v>577</v>
      </c>
    </row>
    <row r="19" spans="1:1">
      <c r="A19" s="54" t="s">
        <v>145</v>
      </c>
    </row>
    <row r="20" spans="1:1">
      <c r="A20" s="54" t="s">
        <v>578</v>
      </c>
    </row>
    <row r="21" spans="1:1" ht="18.75">
      <c r="A21" s="54" t="s">
        <v>579</v>
      </c>
    </row>
    <row r="22" spans="1:1">
      <c r="A22" s="54" t="s">
        <v>580</v>
      </c>
    </row>
    <row r="23" spans="1:1">
      <c r="A23" s="54" t="s">
        <v>581</v>
      </c>
    </row>
    <row r="24" spans="1:1">
      <c r="A24" s="54" t="s">
        <v>582</v>
      </c>
    </row>
  </sheetData>
  <sheetProtection sheet="1" objects="1" scenarios="1"/>
  <mergeCells count="4">
    <mergeCell ref="A3:A4"/>
    <mergeCell ref="A9:A10"/>
    <mergeCell ref="R1:U1"/>
    <mergeCell ref="N1:Q1"/>
  </mergeCells>
  <pageMargins left="0.7" right="0.7" top="0.75" bottom="0.75" header="0.3" footer="0.3"/>
  <pageSetup paperSize="3" scale="54" orientation="landscape" r:id="rId1"/>
  <headerFooter>
    <oddHeader>&amp;L&amp;"Times New Roman,Regular"&amp;12DRAFT - Privileged and Confidential
&amp;C&amp;"Times New Roman,Bold"&amp;12TABLE D1
ONSITE GROUNDWATER PATHWAY SUPPORTING DATA
Chemours Fayetteville Works, North Carolina&amp;R&amp;"Times New Roman,Regular"&amp;12Geosyntec Consultants of NC P.C.</oddHeader>
    <oddFooter>&amp;L&amp;"Times New Roman,Regular"&amp;12TR0795&amp;C&amp;"Times New Roman,Regular"&amp;12Page &amp;P of &amp;N&amp;R&amp;"Times New Roman,Regular"&amp;12June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5F283-4D02-42C2-BCEC-A5E9ABAA0A60}">
  <sheetPr>
    <tabColor theme="8" tint="0.59999389629810485"/>
  </sheetPr>
  <dimension ref="A1:Q57"/>
  <sheetViews>
    <sheetView zoomScale="80" zoomScaleNormal="80" zoomScaleSheetLayoutView="85" zoomScalePageLayoutView="55" workbookViewId="0">
      <selection activeCell="T12" sqref="T12"/>
    </sheetView>
  </sheetViews>
  <sheetFormatPr defaultColWidth="8.7109375" defaultRowHeight="15"/>
  <cols>
    <col min="1" max="1" width="18.42578125" style="22" customWidth="1"/>
    <col min="2" max="5" width="18.7109375" style="22" customWidth="1"/>
    <col min="6" max="6" width="18.7109375" style="84" customWidth="1"/>
    <col min="7" max="12" width="8.7109375" style="22"/>
    <col min="13" max="13" width="11" style="22" bestFit="1" customWidth="1"/>
    <col min="14" max="14" width="17.28515625" style="22" bestFit="1" customWidth="1"/>
    <col min="15" max="15" width="11.7109375" style="22" customWidth="1"/>
    <col min="16" max="16" width="12.42578125" style="22" customWidth="1"/>
    <col min="17" max="17" width="8.7109375" style="22"/>
    <col min="18" max="18" width="8.7109375" style="22" customWidth="1"/>
    <col min="19" max="16384" width="8.7109375" style="22"/>
  </cols>
  <sheetData>
    <row r="1" spans="1:17">
      <c r="L1" s="384" t="s">
        <v>583</v>
      </c>
      <c r="M1" s="384"/>
      <c r="N1" s="384"/>
      <c r="O1" s="384"/>
      <c r="P1" s="384"/>
      <c r="Q1" s="384"/>
    </row>
    <row r="2" spans="1:17" ht="63">
      <c r="A2" s="76" t="s">
        <v>558</v>
      </c>
      <c r="B2" s="76" t="s">
        <v>559</v>
      </c>
      <c r="C2" s="76" t="s">
        <v>584</v>
      </c>
      <c r="D2" s="76" t="s">
        <v>585</v>
      </c>
      <c r="E2" s="76" t="s">
        <v>586</v>
      </c>
      <c r="F2" s="81" t="s">
        <v>587</v>
      </c>
      <c r="L2" s="50"/>
      <c r="M2" s="355" t="s">
        <v>558</v>
      </c>
      <c r="N2" s="355" t="s">
        <v>588</v>
      </c>
      <c r="O2" s="356" t="s">
        <v>589</v>
      </c>
      <c r="P2" s="356" t="s">
        <v>590</v>
      </c>
      <c r="Q2" s="50"/>
    </row>
    <row r="3" spans="1:17" ht="15.75">
      <c r="A3" s="85" t="s">
        <v>62</v>
      </c>
      <c r="B3" s="452" t="s">
        <v>591</v>
      </c>
      <c r="C3" s="73" t="s">
        <v>592</v>
      </c>
      <c r="D3" s="72">
        <v>2.1000000000000001E-4</v>
      </c>
      <c r="E3" s="453">
        <f>MIN(D3:D10)</f>
        <v>2.1000000000000001E-4</v>
      </c>
      <c r="F3" s="86">
        <f>GEOMEAN(D3:D10)</f>
        <v>2.8289926126171477E-4</v>
      </c>
      <c r="M3" s="75" t="s">
        <v>593</v>
      </c>
      <c r="N3" s="75" t="s">
        <v>594</v>
      </c>
      <c r="O3" s="74">
        <f>MIN($D$3:$D$51)</f>
        <v>1.8E-5</v>
      </c>
      <c r="P3" s="87">
        <f>GEOMEAN($D$3:$D$51)</f>
        <v>3.2094190474699969E-4</v>
      </c>
    </row>
    <row r="4" spans="1:17" ht="15.75">
      <c r="A4" s="70"/>
      <c r="B4" s="56"/>
      <c r="C4" s="69" t="s">
        <v>595</v>
      </c>
      <c r="D4" s="68">
        <v>3.6999999999999999E-4</v>
      </c>
      <c r="E4" s="66"/>
      <c r="F4" s="67"/>
      <c r="M4" s="75">
        <v>1</v>
      </c>
      <c r="N4" s="75" t="str">
        <f>$N$3</f>
        <v>BCA slug tests</v>
      </c>
      <c r="O4" s="74">
        <f>MIN($D$3:$D$51)</f>
        <v>1.8E-5</v>
      </c>
      <c r="P4" s="71">
        <f>GEOMEAN($D$3:$D$51)</f>
        <v>3.2094190474699969E-4</v>
      </c>
    </row>
    <row r="5" spans="1:17" ht="15.75">
      <c r="A5" s="70"/>
      <c r="B5" s="56"/>
      <c r="C5" s="69" t="s">
        <v>596</v>
      </c>
      <c r="D5" s="68">
        <v>2.2000000000000001E-4</v>
      </c>
      <c r="E5" s="66"/>
      <c r="F5" s="67"/>
      <c r="M5" s="75">
        <v>2</v>
      </c>
      <c r="N5" s="75" t="str">
        <f>$N$3</f>
        <v>BCA slug tests</v>
      </c>
      <c r="O5" s="74">
        <f>MIN($D$3:$D$51)</f>
        <v>1.8E-5</v>
      </c>
      <c r="P5" s="71">
        <f>GEOMEAN($D$3:$D$51)</f>
        <v>3.2094190474699969E-4</v>
      </c>
    </row>
    <row r="6" spans="1:17" ht="15.75">
      <c r="A6" s="70"/>
      <c r="B6" s="56"/>
      <c r="C6" s="69" t="s">
        <v>597</v>
      </c>
      <c r="D6" s="68">
        <v>3.6999999999999999E-4</v>
      </c>
      <c r="E6" s="66"/>
      <c r="F6" s="67"/>
      <c r="M6" s="75">
        <v>3</v>
      </c>
      <c r="N6" s="75" t="s">
        <v>598</v>
      </c>
      <c r="O6" s="74">
        <f>MIN(D31:D40)</f>
        <v>2.9999999999999997E-4</v>
      </c>
      <c r="P6" s="71">
        <f>GEOMEAN(D31:D40)</f>
        <v>3.9618033667649424E-4</v>
      </c>
    </row>
    <row r="7" spans="1:17" ht="15.75">
      <c r="A7" s="70"/>
      <c r="B7" s="56"/>
      <c r="C7" s="69" t="s">
        <v>599</v>
      </c>
      <c r="D7" s="68">
        <v>2.1000000000000001E-4</v>
      </c>
      <c r="E7" s="66"/>
      <c r="F7" s="67"/>
      <c r="M7" s="75">
        <v>4</v>
      </c>
      <c r="N7" s="75" t="s">
        <v>600</v>
      </c>
      <c r="O7" s="74">
        <f>MIN(D41:D45)</f>
        <v>2.0000000000000002E-5</v>
      </c>
      <c r="P7" s="71">
        <f>GEOMEAN(D41:D45)</f>
        <v>4.6218969477458372E-5</v>
      </c>
    </row>
    <row r="8" spans="1:17" ht="15.75">
      <c r="A8" s="70"/>
      <c r="B8" s="56"/>
      <c r="C8" s="69" t="s">
        <v>601</v>
      </c>
      <c r="D8" s="68">
        <v>3.6000000000000002E-4</v>
      </c>
      <c r="E8" s="66"/>
      <c r="F8" s="67"/>
      <c r="M8" s="75">
        <v>5</v>
      </c>
      <c r="N8" s="75" t="str">
        <f>$N$3</f>
        <v>BCA slug tests</v>
      </c>
      <c r="O8" s="74">
        <f>MIN($D$3:$D$51)</f>
        <v>1.8E-5</v>
      </c>
      <c r="P8" s="71">
        <f>GEOMEAN($D$3:$D$51)</f>
        <v>3.2094190474699969E-4</v>
      </c>
    </row>
    <row r="9" spans="1:17" ht="15.75">
      <c r="A9" s="70"/>
      <c r="B9" s="56"/>
      <c r="C9" s="69" t="s">
        <v>602</v>
      </c>
      <c r="D9" s="68">
        <v>2.2000000000000001E-4</v>
      </c>
      <c r="E9" s="66"/>
      <c r="F9" s="67"/>
      <c r="M9" s="75">
        <v>6</v>
      </c>
      <c r="N9" s="75" t="str">
        <f>$N$3</f>
        <v>BCA slug tests</v>
      </c>
      <c r="O9" s="74">
        <f>MIN($D$3:$D$51)</f>
        <v>1.8E-5</v>
      </c>
      <c r="P9" s="71">
        <f>GEOMEAN($D$3:$D$51)</f>
        <v>3.2094190474699969E-4</v>
      </c>
    </row>
    <row r="10" spans="1:17" ht="15.75">
      <c r="A10" s="454"/>
      <c r="B10" s="455"/>
      <c r="C10" s="65" t="s">
        <v>603</v>
      </c>
      <c r="D10" s="64">
        <v>3.8999999999999999E-4</v>
      </c>
      <c r="E10" s="456"/>
      <c r="F10" s="457"/>
      <c r="M10" s="75">
        <v>8</v>
      </c>
      <c r="N10" s="75" t="str">
        <f>$N$3</f>
        <v>BCA slug tests</v>
      </c>
      <c r="O10" s="74">
        <f>MIN($D$3:$D$51)</f>
        <v>1.8E-5</v>
      </c>
      <c r="P10" s="71">
        <f>GEOMEAN($D$3:$D$51)</f>
        <v>3.2094190474699969E-4</v>
      </c>
    </row>
    <row r="11" spans="1:17" ht="15.75">
      <c r="A11" s="85" t="s">
        <v>62</v>
      </c>
      <c r="B11" s="452" t="s">
        <v>604</v>
      </c>
      <c r="C11" s="73" t="s">
        <v>592</v>
      </c>
      <c r="D11" s="72">
        <v>4.6000000000000001E-4</v>
      </c>
      <c r="E11" s="453">
        <f>MIN(D11:D20)</f>
        <v>3.1E-4</v>
      </c>
      <c r="F11" s="86">
        <f>GEOMEAN(D11:D20)</f>
        <v>5.4417369160685242E-4</v>
      </c>
      <c r="M11" s="75">
        <v>7</v>
      </c>
      <c r="N11" s="75" t="s">
        <v>605</v>
      </c>
      <c r="O11" s="74">
        <f>MIN(D46:D51)</f>
        <v>1.8E-5</v>
      </c>
      <c r="P11" s="71">
        <f>GEOMEAN(D46:D51)</f>
        <v>4.7603199308612167E-5</v>
      </c>
    </row>
    <row r="12" spans="1:17" ht="15.75">
      <c r="A12" s="70"/>
      <c r="B12" s="56"/>
      <c r="C12" s="69" t="s">
        <v>595</v>
      </c>
      <c r="D12" s="68">
        <v>1E-3</v>
      </c>
      <c r="E12" s="66"/>
      <c r="F12" s="67"/>
    </row>
    <row r="13" spans="1:17" ht="15.75">
      <c r="A13" s="70"/>
      <c r="B13" s="56"/>
      <c r="C13" s="69" t="s">
        <v>596</v>
      </c>
      <c r="D13" s="68">
        <v>4.2000000000000002E-4</v>
      </c>
      <c r="E13" s="66"/>
      <c r="F13" s="67"/>
    </row>
    <row r="14" spans="1:17" ht="15.75">
      <c r="A14" s="70"/>
      <c r="B14" s="56"/>
      <c r="C14" s="69" t="s">
        <v>597</v>
      </c>
      <c r="D14" s="68">
        <v>9.1E-4</v>
      </c>
      <c r="E14" s="66"/>
      <c r="F14" s="67"/>
    </row>
    <row r="15" spans="1:17" ht="15.75">
      <c r="A15" s="70"/>
      <c r="B15" s="56"/>
      <c r="C15" s="69" t="s">
        <v>599</v>
      </c>
      <c r="D15" s="68">
        <v>3.4000000000000002E-4</v>
      </c>
      <c r="E15" s="66"/>
      <c r="F15" s="67"/>
    </row>
    <row r="16" spans="1:17" ht="15.75">
      <c r="A16" s="70"/>
      <c r="B16" s="56"/>
      <c r="C16" s="69" t="s">
        <v>601</v>
      </c>
      <c r="D16" s="68">
        <v>7.3999999999999999E-4</v>
      </c>
      <c r="E16" s="66"/>
      <c r="F16" s="67"/>
    </row>
    <row r="17" spans="1:6" ht="15.75">
      <c r="A17" s="70"/>
      <c r="B17" s="56"/>
      <c r="C17" s="69" t="s">
        <v>602</v>
      </c>
      <c r="D17" s="68">
        <v>3.3E-4</v>
      </c>
      <c r="E17" s="66"/>
      <c r="F17" s="67"/>
    </row>
    <row r="18" spans="1:6" ht="15.75">
      <c r="A18" s="70"/>
      <c r="B18" s="56"/>
      <c r="C18" s="69" t="s">
        <v>603</v>
      </c>
      <c r="D18" s="68">
        <v>7.3999999999999999E-4</v>
      </c>
      <c r="E18" s="66"/>
      <c r="F18" s="67"/>
    </row>
    <row r="19" spans="1:6" ht="15.75">
      <c r="A19" s="70"/>
      <c r="B19" s="56"/>
      <c r="C19" s="69" t="s">
        <v>606</v>
      </c>
      <c r="D19" s="68">
        <v>3.1E-4</v>
      </c>
      <c r="E19" s="66"/>
      <c r="F19" s="67"/>
    </row>
    <row r="20" spans="1:6" ht="15.75">
      <c r="A20" s="70"/>
      <c r="B20" s="56"/>
      <c r="C20" s="70" t="s">
        <v>607</v>
      </c>
      <c r="D20" s="67">
        <v>6.8000000000000005E-4</v>
      </c>
      <c r="E20" s="66"/>
      <c r="F20" s="67"/>
    </row>
    <row r="21" spans="1:6" ht="15.75">
      <c r="A21" s="85" t="s">
        <v>62</v>
      </c>
      <c r="B21" s="452" t="s">
        <v>608</v>
      </c>
      <c r="C21" s="73" t="s">
        <v>592</v>
      </c>
      <c r="D21" s="72">
        <v>1.1000000000000001E-3</v>
      </c>
      <c r="E21" s="453">
        <f>MIN(D21:D30)</f>
        <v>1.1000000000000001E-3</v>
      </c>
      <c r="F21" s="86">
        <f>GEOMEAN(D21:D30)</f>
        <v>1.4046294283826684E-3</v>
      </c>
    </row>
    <row r="22" spans="1:6" ht="15.75">
      <c r="A22" s="70"/>
      <c r="B22" s="56"/>
      <c r="C22" s="69" t="s">
        <v>595</v>
      </c>
      <c r="D22" s="68">
        <v>1.6000000000000001E-3</v>
      </c>
      <c r="E22" s="66"/>
      <c r="F22" s="67"/>
    </row>
    <row r="23" spans="1:6" ht="15.75">
      <c r="A23" s="70"/>
      <c r="B23" s="56"/>
      <c r="C23" s="69" t="s">
        <v>596</v>
      </c>
      <c r="D23" s="68">
        <v>1.1000000000000001E-3</v>
      </c>
      <c r="E23" s="66"/>
      <c r="F23" s="67"/>
    </row>
    <row r="24" spans="1:6" ht="15.75">
      <c r="A24" s="70"/>
      <c r="B24" s="56"/>
      <c r="C24" s="69" t="s">
        <v>597</v>
      </c>
      <c r="D24" s="68">
        <v>1.6999999999999999E-3</v>
      </c>
      <c r="E24" s="66"/>
      <c r="F24" s="67"/>
    </row>
    <row r="25" spans="1:6" ht="15.75">
      <c r="A25" s="70"/>
      <c r="B25" s="56"/>
      <c r="C25" s="69" t="s">
        <v>599</v>
      </c>
      <c r="D25" s="68">
        <v>1.1000000000000001E-3</v>
      </c>
      <c r="E25" s="66"/>
      <c r="F25" s="67"/>
    </row>
    <row r="26" spans="1:6" ht="15.75">
      <c r="A26" s="70"/>
      <c r="B26" s="56"/>
      <c r="C26" s="69" t="s">
        <v>601</v>
      </c>
      <c r="D26" s="68">
        <v>1.6000000000000001E-3</v>
      </c>
      <c r="E26" s="66"/>
      <c r="F26" s="67"/>
    </row>
    <row r="27" spans="1:6" ht="15.75">
      <c r="A27" s="70"/>
      <c r="B27" s="56"/>
      <c r="C27" s="69" t="s">
        <v>602</v>
      </c>
      <c r="D27" s="68">
        <v>1.1000000000000001E-3</v>
      </c>
      <c r="E27" s="66"/>
      <c r="F27" s="67"/>
    </row>
    <row r="28" spans="1:6" ht="15.75">
      <c r="A28" s="70"/>
      <c r="B28" s="56"/>
      <c r="C28" s="69" t="s">
        <v>603</v>
      </c>
      <c r="D28" s="68">
        <v>1.6999999999999999E-3</v>
      </c>
      <c r="E28" s="66"/>
      <c r="F28" s="67"/>
    </row>
    <row r="29" spans="1:6" ht="15.75">
      <c r="A29" s="70"/>
      <c r="B29" s="56"/>
      <c r="C29" s="69" t="s">
        <v>606</v>
      </c>
      <c r="D29" s="68">
        <v>1.1999999999999999E-3</v>
      </c>
      <c r="E29" s="66"/>
      <c r="F29" s="67"/>
    </row>
    <row r="30" spans="1:6" ht="15.75">
      <c r="A30" s="70"/>
      <c r="B30" s="56"/>
      <c r="C30" s="69" t="s">
        <v>607</v>
      </c>
      <c r="D30" s="68">
        <v>2.3E-3</v>
      </c>
      <c r="E30" s="66"/>
      <c r="F30" s="67"/>
    </row>
    <row r="31" spans="1:6" ht="15.75">
      <c r="A31" s="88">
        <v>3</v>
      </c>
      <c r="B31" s="452" t="s">
        <v>176</v>
      </c>
      <c r="C31" s="73" t="s">
        <v>592</v>
      </c>
      <c r="D31" s="72">
        <v>2.9999999999999997E-4</v>
      </c>
      <c r="E31" s="453">
        <f>MIN(D31:D40)</f>
        <v>2.9999999999999997E-4</v>
      </c>
      <c r="F31" s="86">
        <f>GEOMEAN(D31:D40)</f>
        <v>3.9618033667649424E-4</v>
      </c>
    </row>
    <row r="32" spans="1:6" ht="15.75">
      <c r="A32" s="70"/>
      <c r="B32" s="56"/>
      <c r="C32" s="69" t="s">
        <v>595</v>
      </c>
      <c r="D32" s="68">
        <v>4.8000000000000001E-4</v>
      </c>
      <c r="E32" s="66"/>
      <c r="F32" s="67"/>
    </row>
    <row r="33" spans="1:6" ht="15.75">
      <c r="A33" s="70"/>
      <c r="B33" s="56"/>
      <c r="C33" s="69" t="s">
        <v>596</v>
      </c>
      <c r="D33" s="68">
        <v>3.2000000000000003E-4</v>
      </c>
      <c r="E33" s="66"/>
      <c r="F33" s="67"/>
    </row>
    <row r="34" spans="1:6" ht="15.75">
      <c r="A34" s="70"/>
      <c r="B34" s="56"/>
      <c r="C34" s="69" t="s">
        <v>597</v>
      </c>
      <c r="D34" s="68">
        <v>4.8999999999999998E-4</v>
      </c>
      <c r="E34" s="66"/>
      <c r="F34" s="67"/>
    </row>
    <row r="35" spans="1:6" ht="15.75">
      <c r="A35" s="70"/>
      <c r="B35" s="56"/>
      <c r="C35" s="69" t="s">
        <v>599</v>
      </c>
      <c r="D35" s="68">
        <v>3.1E-4</v>
      </c>
      <c r="E35" s="66"/>
      <c r="F35" s="67"/>
    </row>
    <row r="36" spans="1:6" ht="15.75">
      <c r="A36" s="70"/>
      <c r="B36" s="56"/>
      <c r="C36" s="69" t="s">
        <v>601</v>
      </c>
      <c r="D36" s="68">
        <v>4.6999999999999999E-4</v>
      </c>
      <c r="E36" s="66"/>
      <c r="F36" s="67"/>
    </row>
    <row r="37" spans="1:6" ht="15.75">
      <c r="A37" s="70"/>
      <c r="B37" s="56"/>
      <c r="C37" s="69" t="s">
        <v>602</v>
      </c>
      <c r="D37" s="68">
        <v>3.8999999999999999E-4</v>
      </c>
      <c r="E37" s="66"/>
      <c r="F37" s="67"/>
    </row>
    <row r="38" spans="1:6" ht="15.75">
      <c r="A38" s="70"/>
      <c r="B38" s="56"/>
      <c r="C38" s="69" t="s">
        <v>603</v>
      </c>
      <c r="D38" s="68">
        <v>5.5000000000000003E-4</v>
      </c>
      <c r="E38" s="66"/>
      <c r="F38" s="67"/>
    </row>
    <row r="39" spans="1:6" ht="15.75">
      <c r="A39" s="70"/>
      <c r="B39" s="56"/>
      <c r="C39" s="69" t="s">
        <v>606</v>
      </c>
      <c r="D39" s="68">
        <v>2.9999999999999997E-4</v>
      </c>
      <c r="E39" s="66"/>
      <c r="F39" s="67"/>
    </row>
    <row r="40" spans="1:6" ht="15.75">
      <c r="A40" s="70"/>
      <c r="B40" s="56"/>
      <c r="C40" s="69" t="s">
        <v>607</v>
      </c>
      <c r="D40" s="68">
        <v>4.4999999999999999E-4</v>
      </c>
      <c r="E40" s="66"/>
      <c r="F40" s="67"/>
    </row>
    <row r="41" spans="1:6" ht="15.75">
      <c r="A41" s="88">
        <v>4</v>
      </c>
      <c r="B41" s="452" t="s">
        <v>178</v>
      </c>
      <c r="C41" s="73" t="s">
        <v>592</v>
      </c>
      <c r="D41" s="72">
        <v>6.4999999999999994E-5</v>
      </c>
      <c r="E41" s="458">
        <f>MIN(D41:D45)</f>
        <v>2.0000000000000002E-5</v>
      </c>
      <c r="F41" s="86">
        <f>GEOMEAN(D41:D45)</f>
        <v>4.6218969477458372E-5</v>
      </c>
    </row>
    <row r="42" spans="1:6" ht="15.75">
      <c r="A42" s="70"/>
      <c r="B42" s="56"/>
      <c r="C42" s="69" t="s">
        <v>596</v>
      </c>
      <c r="D42" s="68">
        <v>2.4000000000000001E-5</v>
      </c>
      <c r="E42" s="66"/>
      <c r="F42" s="67"/>
    </row>
    <row r="43" spans="1:6" ht="15.75">
      <c r="A43" s="70"/>
      <c r="B43" s="56"/>
      <c r="C43" s="69" t="s">
        <v>599</v>
      </c>
      <c r="D43" s="68">
        <v>2.5999999999999998E-5</v>
      </c>
      <c r="E43" s="66"/>
      <c r="F43" s="67"/>
    </row>
    <row r="44" spans="1:6" ht="15.75">
      <c r="A44" s="70"/>
      <c r="B44" s="56"/>
      <c r="C44" s="69" t="s">
        <v>602</v>
      </c>
      <c r="D44" s="68">
        <v>2.5999999999999998E-4</v>
      </c>
      <c r="E44" s="66"/>
      <c r="F44" s="67"/>
    </row>
    <row r="45" spans="1:6" ht="15.75">
      <c r="A45" s="70"/>
      <c r="B45" s="56"/>
      <c r="C45" s="69" t="s">
        <v>606</v>
      </c>
      <c r="D45" s="68">
        <v>2.0000000000000002E-5</v>
      </c>
      <c r="E45" s="66"/>
      <c r="F45" s="67"/>
    </row>
    <row r="46" spans="1:6" ht="15.75">
      <c r="A46" s="88">
        <v>7</v>
      </c>
      <c r="B46" s="452" t="s">
        <v>184</v>
      </c>
      <c r="C46" s="73" t="s">
        <v>592</v>
      </c>
      <c r="D46" s="72">
        <v>2.4000000000000001E-5</v>
      </c>
      <c r="E46" s="453">
        <f>MIN(D46:D51)</f>
        <v>1.8E-5</v>
      </c>
      <c r="F46" s="86">
        <f>GEOMEAN(D46:D51)</f>
        <v>4.7603199308612167E-5</v>
      </c>
    </row>
    <row r="47" spans="1:6" ht="15.75">
      <c r="A47" s="70"/>
      <c r="B47" s="56"/>
      <c r="C47" s="69" t="s">
        <v>595</v>
      </c>
      <c r="D47" s="68">
        <v>8.0000000000000007E-5</v>
      </c>
      <c r="E47" s="66"/>
      <c r="F47" s="67"/>
    </row>
    <row r="48" spans="1:6" ht="15.75">
      <c r="A48" s="70"/>
      <c r="B48" s="56"/>
      <c r="C48" s="69" t="s">
        <v>596</v>
      </c>
      <c r="D48" s="68">
        <v>1.8E-5</v>
      </c>
      <c r="E48" s="66"/>
      <c r="F48" s="67"/>
    </row>
    <row r="49" spans="1:6" ht="15.75">
      <c r="A49" s="70"/>
      <c r="B49" s="56"/>
      <c r="C49" s="69" t="s">
        <v>597</v>
      </c>
      <c r="D49" s="68">
        <v>3.4999999999999997E-5</v>
      </c>
      <c r="E49" s="66"/>
      <c r="F49" s="67"/>
    </row>
    <row r="50" spans="1:6" ht="15.75">
      <c r="A50" s="70"/>
      <c r="B50" s="56"/>
      <c r="C50" s="69" t="s">
        <v>602</v>
      </c>
      <c r="D50" s="68">
        <v>7.3999999999999996E-5</v>
      </c>
      <c r="E50" s="66"/>
      <c r="F50" s="67"/>
    </row>
    <row r="51" spans="1:6" ht="15.75">
      <c r="A51" s="70"/>
      <c r="B51" s="56"/>
      <c r="C51" s="69" t="s">
        <v>603</v>
      </c>
      <c r="D51" s="68">
        <v>1.2999999999999999E-4</v>
      </c>
      <c r="E51" s="66"/>
      <c r="F51" s="67"/>
    </row>
    <row r="52" spans="1:6" ht="47.25">
      <c r="A52" s="89" t="s">
        <v>609</v>
      </c>
      <c r="B52" s="90" t="s">
        <v>610</v>
      </c>
      <c r="C52" s="91" t="s">
        <v>62</v>
      </c>
      <c r="D52" s="91" t="s">
        <v>62</v>
      </c>
      <c r="E52" s="80">
        <f>MIN(D3:D51)</f>
        <v>1.8E-5</v>
      </c>
      <c r="F52" s="82">
        <f>GEOMEAN(D3:D51)</f>
        <v>3.2094190474699969E-4</v>
      </c>
    </row>
    <row r="53" spans="1:6" ht="15.75">
      <c r="A53" s="52"/>
      <c r="B53" s="52"/>
      <c r="C53" s="52"/>
      <c r="D53" s="52"/>
      <c r="E53" s="52"/>
      <c r="F53" s="83"/>
    </row>
    <row r="54" spans="1:6" ht="15.75">
      <c r="A54" s="63" t="s">
        <v>149</v>
      </c>
      <c r="B54" s="52"/>
      <c r="C54" s="52"/>
      <c r="D54" s="52"/>
      <c r="E54" s="52"/>
      <c r="F54" s="83"/>
    </row>
    <row r="55" spans="1:6" ht="15.75">
      <c r="A55" s="52" t="s">
        <v>611</v>
      </c>
      <c r="B55" s="52"/>
      <c r="C55" s="52"/>
      <c r="D55" s="52"/>
      <c r="E55" s="52"/>
      <c r="F55" s="83"/>
    </row>
    <row r="56" spans="1:6" ht="15.75">
      <c r="A56" s="52" t="s">
        <v>612</v>
      </c>
      <c r="B56" s="52"/>
      <c r="C56" s="52"/>
      <c r="D56" s="52"/>
    </row>
    <row r="57" spans="1:6" ht="15.75">
      <c r="A57" s="52" t="s">
        <v>578</v>
      </c>
    </row>
  </sheetData>
  <sheetProtection sheet="1" objects="1" scenarios="1"/>
  <mergeCells count="1">
    <mergeCell ref="L1:Q1"/>
  </mergeCells>
  <pageMargins left="0.7" right="0.7" top="0.75" bottom="0.75" header="0.3" footer="0.3"/>
  <pageSetup scale="70" orientation="portrait" horizontalDpi="1200" verticalDpi="1200" r:id="rId1"/>
  <headerFooter>
    <oddHeader>&amp;C&amp;"Times New Roman,Bold"&amp;12&amp;KFF0000DRAFT&amp;K01+000 TABLE H2
HYDRAULIC CONDUCTIVITY RESULTS
Chemours Fayetteville Works, North Carolina&amp;R&amp;"Times New Roman,Regular"&amp;12Geosyntec Consultants of NC P.C.</oddHeader>
    <oddFooter>&amp;L&amp;"Times New Roman,Regular"&amp;12TR0795&amp;C&amp;"Times New Roman,Regular"&amp;12CONFIDENTIAL -- ATTORNEY CLIENT PRIVILEGED -- ATTORNEY WORK PRODUCT
Page &amp;P of &amp;N&amp;R&amp;"Times New Roman,Regular"July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32ED3-E461-4903-917A-AA080682D278}">
  <sheetPr>
    <tabColor theme="8" tint="0.59999389629810485"/>
  </sheetPr>
  <dimension ref="A1:I18"/>
  <sheetViews>
    <sheetView view="pageBreakPreview" zoomScaleNormal="100" zoomScaleSheetLayoutView="100" zoomScalePageLayoutView="70" workbookViewId="0">
      <selection activeCell="H26" sqref="H26"/>
    </sheetView>
  </sheetViews>
  <sheetFormatPr defaultColWidth="8.7109375" defaultRowHeight="15"/>
  <cols>
    <col min="1" max="1" width="16.7109375" style="22" customWidth="1"/>
    <col min="2" max="5" width="26.140625" style="22" customWidth="1"/>
    <col min="6" max="7" width="16.7109375" style="22" customWidth="1"/>
    <col min="8" max="9" width="14.140625" style="22" customWidth="1"/>
    <col min="10" max="16384" width="8.7109375" style="22"/>
  </cols>
  <sheetData>
    <row r="1" spans="1:9" ht="18.600000000000001" customHeight="1"/>
    <row r="2" spans="1:9" ht="41.25">
      <c r="A2" s="92" t="s">
        <v>558</v>
      </c>
      <c r="B2" s="92" t="s">
        <v>613</v>
      </c>
      <c r="C2" s="92" t="s">
        <v>567</v>
      </c>
      <c r="D2" s="92" t="s">
        <v>586</v>
      </c>
      <c r="E2" s="92" t="s">
        <v>587</v>
      </c>
      <c r="F2" s="92" t="s">
        <v>614</v>
      </c>
      <c r="G2" s="92" t="s">
        <v>615</v>
      </c>
      <c r="H2" s="92" t="s">
        <v>616</v>
      </c>
      <c r="I2" s="92" t="s">
        <v>617</v>
      </c>
    </row>
    <row r="3" spans="1:9">
      <c r="A3" s="211">
        <v>1</v>
      </c>
      <c r="B3" s="93">
        <f>'Onsite GW Summary'!G3</f>
        <v>13400</v>
      </c>
      <c r="C3" s="94">
        <f>'Onsite GW Summary'!K3</f>
        <v>3.2167101659701818E-2</v>
      </c>
      <c r="D3" s="95">
        <f>'Onsite GW Summary'!L3</f>
        <v>1.8E-5</v>
      </c>
      <c r="E3" s="95">
        <f>'Onsite GW Summary'!M3</f>
        <v>3.2094190474699969E-4</v>
      </c>
      <c r="F3" s="96">
        <f>B3*C3*D3*28.3168</f>
        <v>0.21970169548771962</v>
      </c>
      <c r="G3" s="96">
        <f>B3*C3*E3*28.3168</f>
        <v>3.9173044792207796</v>
      </c>
      <c r="H3" s="166">
        <f t="shared" ref="H3:H11" si="0">F3*86400/3.785</f>
        <v>5015.1192840525691</v>
      </c>
      <c r="I3" s="166">
        <f t="shared" ref="I3:I11" si="1">G3*86400/3.785</f>
        <v>89420.10753095783</v>
      </c>
    </row>
    <row r="4" spans="1:9">
      <c r="A4" s="210">
        <v>2</v>
      </c>
      <c r="B4" s="93">
        <f>'Onsite GW Summary'!G5</f>
        <v>11010</v>
      </c>
      <c r="C4" s="94">
        <f>'Onsite GW Summary'!K5</f>
        <v>4.3997943536119119E-2</v>
      </c>
      <c r="D4" s="95">
        <f>'Onsite GW Summary'!L5</f>
        <v>1.8E-5</v>
      </c>
      <c r="E4" s="95">
        <f>'Onsite GW Summary'!M5</f>
        <v>3.2094190474699969E-4</v>
      </c>
      <c r="F4" s="96">
        <f t="shared" ref="F4:F10" si="2">B4*C4*D4*28.3168</f>
        <v>0.24690869014382266</v>
      </c>
      <c r="G4" s="96">
        <f t="shared" ref="G4:G10" si="3">B4*C4*E4*28.3168</f>
        <v>4.4024080729636221</v>
      </c>
      <c r="H4" s="166">
        <f t="shared" si="0"/>
        <v>5636.1719493860701</v>
      </c>
      <c r="I4" s="166">
        <f t="shared" si="1"/>
        <v>100493.54227319866</v>
      </c>
    </row>
    <row r="5" spans="1:9">
      <c r="A5" s="210">
        <v>3</v>
      </c>
      <c r="B5" s="93">
        <f>'Onsite GW Summary'!G6</f>
        <v>5560</v>
      </c>
      <c r="C5" s="94">
        <f>'Onsite GW Summary'!K6</f>
        <v>2.7892077185745198E-2</v>
      </c>
      <c r="D5" s="95">
        <f>'Onsite GW Summary'!L6</f>
        <v>2.9999999999999997E-4</v>
      </c>
      <c r="E5" s="95">
        <f>'Onsite GW Summary'!M6</f>
        <v>3.9618033667649424E-4</v>
      </c>
      <c r="F5" s="96">
        <f t="shared" si="2"/>
        <v>1.3174103712505203</v>
      </c>
      <c r="G5" s="96">
        <f t="shared" si="3"/>
        <v>1.7397736147437881</v>
      </c>
      <c r="H5" s="166">
        <f t="shared" si="0"/>
        <v>30072.458672667093</v>
      </c>
      <c r="I5" s="166">
        <f t="shared" si="1"/>
        <v>39713.722672090698</v>
      </c>
    </row>
    <row r="6" spans="1:9">
      <c r="A6" s="210">
        <v>4</v>
      </c>
      <c r="B6" s="93">
        <f>'Onsite GW Summary'!G7</f>
        <v>8340</v>
      </c>
      <c r="C6" s="94">
        <f>'Onsite GW Summary'!K7</f>
        <v>2.7892077185745198E-2</v>
      </c>
      <c r="D6" s="95">
        <f>'Onsite GW Summary'!L7</f>
        <v>2.0000000000000002E-5</v>
      </c>
      <c r="E6" s="95">
        <f>'Onsite GW Summary'!M7</f>
        <v>4.6218969477458372E-5</v>
      </c>
      <c r="F6" s="96">
        <f t="shared" si="2"/>
        <v>0.13174103712505209</v>
      </c>
      <c r="G6" s="96">
        <f t="shared" si="3"/>
        <v>0.30444674869057453</v>
      </c>
      <c r="H6" s="166">
        <f t="shared" si="0"/>
        <v>3007.2458672667108</v>
      </c>
      <c r="I6" s="166">
        <f t="shared" si="1"/>
        <v>6949.590247520644</v>
      </c>
    </row>
    <row r="7" spans="1:9">
      <c r="A7" s="210">
        <v>5</v>
      </c>
      <c r="B7" s="93">
        <f>'Onsite GW Summary'!G8</f>
        <v>15200</v>
      </c>
      <c r="C7" s="94">
        <f>'Onsite GW Summary'!K8</f>
        <v>2.6538204066847083E-2</v>
      </c>
      <c r="D7" s="95">
        <f>'Onsite GW Summary'!L8</f>
        <v>1.8E-5</v>
      </c>
      <c r="E7" s="95">
        <f>'Onsite GW Summary'!M8</f>
        <v>3.2094190474699969E-4</v>
      </c>
      <c r="F7" s="96">
        <f t="shared" si="2"/>
        <v>0.20560411182933813</v>
      </c>
      <c r="G7" s="96">
        <f t="shared" si="3"/>
        <v>3.6659430707957172</v>
      </c>
      <c r="H7" s="166">
        <f t="shared" si="0"/>
        <v>4693.314468178286</v>
      </c>
      <c r="I7" s="166">
        <f t="shared" si="1"/>
        <v>83682.293610766181</v>
      </c>
    </row>
    <row r="8" spans="1:9">
      <c r="A8" s="210">
        <v>6</v>
      </c>
      <c r="B8" s="93">
        <f>'Onsite GW Summary'!G9</f>
        <v>16000</v>
      </c>
      <c r="C8" s="94">
        <f>'Onsite GW Summary'!K9</f>
        <v>2.6538204066847083E-2</v>
      </c>
      <c r="D8" s="95">
        <f>'Onsite GW Summary'!L9</f>
        <v>1.8E-5</v>
      </c>
      <c r="E8" s="95">
        <f>'Onsite GW Summary'!M9</f>
        <v>3.2094190474699969E-4</v>
      </c>
      <c r="F8" s="96">
        <f>B8*C8*D8*28.3168</f>
        <v>0.21642538087298752</v>
      </c>
      <c r="G8" s="96">
        <f>B8*C8*E8*28.3168</f>
        <v>3.8588874429428599</v>
      </c>
      <c r="H8" s="166">
        <f t="shared" si="0"/>
        <v>4940.3310191350383</v>
      </c>
      <c r="I8" s="166">
        <f t="shared" si="1"/>
        <v>88086.624853438072</v>
      </c>
    </row>
    <row r="9" spans="1:9">
      <c r="A9" s="210">
        <v>7</v>
      </c>
      <c r="B9" s="93">
        <f>'Onsite GW Summary'!G11</f>
        <v>17200</v>
      </c>
      <c r="C9" s="94">
        <f>'Onsite GW Summary'!K11</f>
        <v>2.4186730264867673E-2</v>
      </c>
      <c r="D9" s="95">
        <f>'Onsite GW Summary'!L11</f>
        <v>1.8E-5</v>
      </c>
      <c r="E9" s="95">
        <f>'Onsite GW Summary'!M11</f>
        <v>4.7603199308612167E-5</v>
      </c>
      <c r="F9" s="96">
        <f t="shared" si="2"/>
        <v>0.21204219278347786</v>
      </c>
      <c r="G9" s="96">
        <f t="shared" si="3"/>
        <v>0.56077148693928114</v>
      </c>
      <c r="H9" s="166">
        <f t="shared" si="0"/>
        <v>4840.2762104339454</v>
      </c>
      <c r="I9" s="166">
        <f t="shared" si="1"/>
        <v>12800.701841890062</v>
      </c>
    </row>
    <row r="10" spans="1:9">
      <c r="A10" s="210">
        <v>8</v>
      </c>
      <c r="B10" s="93">
        <f>'Onsite GW Summary'!G12</f>
        <v>56300</v>
      </c>
      <c r="C10" s="94">
        <f>'Onsite GW Summary'!K12</f>
        <v>2.4186730264867673E-2</v>
      </c>
      <c r="D10" s="95">
        <f>'Onsite GW Summary'!L12</f>
        <v>1.8E-5</v>
      </c>
      <c r="E10" s="95">
        <f>'Onsite GW Summary'!M12</f>
        <v>3.2094190474699969E-4</v>
      </c>
      <c r="F10" s="96">
        <f t="shared" si="2"/>
        <v>0.69406834033196529</v>
      </c>
      <c r="G10" s="97">
        <f t="shared" si="3"/>
        <v>12.375311953929431</v>
      </c>
      <c r="H10" s="166">
        <f t="shared" si="0"/>
        <v>15843.462246943673</v>
      </c>
      <c r="I10" s="166">
        <f t="shared" si="1"/>
        <v>282490.60840673785</v>
      </c>
    </row>
    <row r="11" spans="1:9">
      <c r="A11" s="98"/>
      <c r="B11" s="98"/>
      <c r="C11" s="98"/>
      <c r="D11" s="98"/>
      <c r="E11" s="99" t="s">
        <v>552</v>
      </c>
      <c r="F11" s="100">
        <f>SUM(F3:F10)</f>
        <v>3.2439018198248837</v>
      </c>
      <c r="G11" s="101">
        <f>SUM(G3:G10)</f>
        <v>30.824846870226054</v>
      </c>
      <c r="H11" s="167">
        <f t="shared" si="0"/>
        <v>74048.379718063399</v>
      </c>
      <c r="I11" s="167">
        <f t="shared" si="1"/>
        <v>703637.19143660006</v>
      </c>
    </row>
    <row r="12" spans="1:9">
      <c r="A12" s="27" t="s">
        <v>149</v>
      </c>
      <c r="B12" s="98"/>
      <c r="C12" s="98"/>
      <c r="D12" s="98"/>
      <c r="E12" s="98"/>
      <c r="F12" s="98"/>
      <c r="G12" s="98"/>
    </row>
    <row r="13" spans="1:9">
      <c r="A13" s="28" t="s">
        <v>618</v>
      </c>
      <c r="B13" s="98"/>
      <c r="C13" s="98"/>
      <c r="D13" s="98"/>
      <c r="E13" s="98"/>
      <c r="F13" s="98"/>
      <c r="G13" s="98"/>
    </row>
    <row r="14" spans="1:9">
      <c r="A14" s="102" t="s">
        <v>145</v>
      </c>
      <c r="B14" s="98"/>
      <c r="C14" s="98"/>
      <c r="D14" s="98"/>
      <c r="E14" s="98"/>
      <c r="F14" s="98"/>
      <c r="G14" s="98"/>
    </row>
    <row r="15" spans="1:9">
      <c r="A15" s="102" t="s">
        <v>578</v>
      </c>
      <c r="B15" s="98"/>
      <c r="C15" s="98"/>
      <c r="D15" s="98"/>
      <c r="E15" s="98"/>
      <c r="F15" s="98"/>
      <c r="G15" s="98"/>
    </row>
    <row r="16" spans="1:9" ht="15.75">
      <c r="A16" s="102" t="s">
        <v>619</v>
      </c>
      <c r="B16" s="98"/>
      <c r="C16" s="98"/>
      <c r="D16" s="98"/>
      <c r="E16" s="98"/>
      <c r="F16" s="98"/>
      <c r="G16" s="98"/>
    </row>
    <row r="17" spans="1:7">
      <c r="A17" s="102" t="s">
        <v>620</v>
      </c>
      <c r="B17" s="98"/>
      <c r="C17" s="98"/>
      <c r="D17" s="98"/>
      <c r="E17" s="98"/>
      <c r="F17" s="98"/>
      <c r="G17" s="98"/>
    </row>
    <row r="18" spans="1:7">
      <c r="A18" s="102" t="s">
        <v>621</v>
      </c>
      <c r="B18" s="98"/>
      <c r="C18" s="98"/>
      <c r="D18" s="98"/>
      <c r="E18" s="98"/>
      <c r="F18" s="98"/>
      <c r="G18" s="98"/>
    </row>
  </sheetData>
  <sheetProtection sheet="1" objects="1" scenarios="1"/>
  <pageMargins left="0.7" right="0.7" top="0.75" bottom="0.75" header="0.3" footer="0.3"/>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BBFB-ADDE-4CC2-AC16-3D2B89A82DC5}">
  <sheetPr>
    <tabColor theme="5" tint="0.59999389629810485"/>
  </sheetPr>
  <dimension ref="A1:K99"/>
  <sheetViews>
    <sheetView workbookViewId="0"/>
  </sheetViews>
  <sheetFormatPr defaultRowHeight="15"/>
  <cols>
    <col min="2" max="2" width="11.28515625" bestFit="1" customWidth="1"/>
    <col min="4" max="4" width="9.85546875" bestFit="1" customWidth="1"/>
    <col min="5" max="5" width="13.28515625" bestFit="1" customWidth="1"/>
    <col min="7" max="7" width="10.7109375" bestFit="1" customWidth="1"/>
    <col min="10" max="10" width="11.85546875" bestFit="1" customWidth="1"/>
    <col min="11" max="11" width="12.42578125" bestFit="1" customWidth="1"/>
  </cols>
  <sheetData>
    <row r="1" spans="1:11">
      <c r="A1" s="22" t="s">
        <v>244</v>
      </c>
      <c r="B1" s="22" t="s">
        <v>245</v>
      </c>
      <c r="C1" s="22" t="s">
        <v>622</v>
      </c>
      <c r="D1" s="22" t="s">
        <v>623</v>
      </c>
      <c r="E1" s="22" t="s">
        <v>624</v>
      </c>
      <c r="F1" s="22" t="s">
        <v>625</v>
      </c>
      <c r="G1" s="22" t="s">
        <v>626</v>
      </c>
      <c r="H1" s="22" t="s">
        <v>117</v>
      </c>
      <c r="I1" s="22" t="s">
        <v>627</v>
      </c>
      <c r="J1" s="22" t="s">
        <v>628</v>
      </c>
      <c r="K1" s="22" t="s">
        <v>549</v>
      </c>
    </row>
    <row r="2" spans="1:11">
      <c r="A2" s="1">
        <v>43923</v>
      </c>
      <c r="B2" s="2">
        <v>0.58971064814814811</v>
      </c>
      <c r="C2" s="22">
        <v>0</v>
      </c>
      <c r="D2" s="22">
        <v>1.84</v>
      </c>
      <c r="E2" s="22">
        <v>14.478</v>
      </c>
      <c r="F2" s="3">
        <f t="shared" ref="F2:F65" si="0">D2*0.3346</f>
        <v>0.61566399999999999</v>
      </c>
      <c r="G2" s="4">
        <f t="shared" ref="G2:G65" si="1">695.6*(F2^2.63)</f>
        <v>194.23776006493182</v>
      </c>
      <c r="H2" s="22" t="s">
        <v>629</v>
      </c>
      <c r="I2" s="22">
        <f t="shared" ref="I2:I40" si="2">CONVERT((B3-B2),"day","mn")</f>
        <v>15.000000000000107</v>
      </c>
      <c r="J2" s="5">
        <f>G2*I2</f>
        <v>2913.566400973998</v>
      </c>
      <c r="K2" s="5">
        <f>SUM(J2:J99)</f>
        <v>249128.90668181126</v>
      </c>
    </row>
    <row r="3" spans="1:11">
      <c r="A3" s="1">
        <v>43923</v>
      </c>
      <c r="B3" s="2">
        <v>0.60012731481481485</v>
      </c>
      <c r="C3" s="22">
        <v>0</v>
      </c>
      <c r="D3" s="22">
        <v>1.806</v>
      </c>
      <c r="E3" s="22">
        <v>14.51</v>
      </c>
      <c r="F3" s="3">
        <f t="shared" si="0"/>
        <v>0.60428760000000004</v>
      </c>
      <c r="G3" s="4">
        <f t="shared" si="1"/>
        <v>184.93983191506146</v>
      </c>
      <c r="H3" s="22" t="s">
        <v>629</v>
      </c>
      <c r="I3" s="22">
        <f t="shared" si="2"/>
        <v>14.999999999999947</v>
      </c>
      <c r="J3" s="5">
        <f t="shared" ref="J3:J47" si="3">G3*I3</f>
        <v>2774.097478725912</v>
      </c>
      <c r="K3" s="5"/>
    </row>
    <row r="4" spans="1:11">
      <c r="A4" s="1">
        <v>43923</v>
      </c>
      <c r="B4" s="2">
        <v>0.61054398148148148</v>
      </c>
      <c r="C4" s="22">
        <v>0</v>
      </c>
      <c r="D4" s="22">
        <v>1.931</v>
      </c>
      <c r="E4" s="22">
        <v>14.522</v>
      </c>
      <c r="F4" s="3">
        <f t="shared" si="0"/>
        <v>0.64611260000000004</v>
      </c>
      <c r="G4" s="4">
        <f t="shared" si="1"/>
        <v>220.53126400674279</v>
      </c>
      <c r="H4" s="22" t="s">
        <v>629</v>
      </c>
      <c r="I4" s="22">
        <f t="shared" si="2"/>
        <v>14.999999999999947</v>
      </c>
      <c r="J4" s="5">
        <f t="shared" si="3"/>
        <v>3307.9689601011301</v>
      </c>
      <c r="K4" s="5"/>
    </row>
    <row r="5" spans="1:11">
      <c r="A5" s="1">
        <v>43923</v>
      </c>
      <c r="B5" s="2">
        <v>0.62096064814814811</v>
      </c>
      <c r="C5" s="22">
        <v>0</v>
      </c>
      <c r="D5" s="22">
        <v>1.889</v>
      </c>
      <c r="E5" s="22">
        <v>14.539</v>
      </c>
      <c r="F5" s="3">
        <f t="shared" si="0"/>
        <v>0.63205940000000005</v>
      </c>
      <c r="G5" s="4">
        <f t="shared" si="1"/>
        <v>208.138699180477</v>
      </c>
      <c r="H5" s="22" t="s">
        <v>629</v>
      </c>
      <c r="I5" s="22">
        <f t="shared" si="2"/>
        <v>15.000000000000107</v>
      </c>
      <c r="J5" s="5">
        <f t="shared" si="3"/>
        <v>3122.0804877071773</v>
      </c>
      <c r="K5" s="5"/>
    </row>
    <row r="6" spans="1:11">
      <c r="A6" s="1">
        <v>43923</v>
      </c>
      <c r="B6" s="2">
        <v>0.63137731481481485</v>
      </c>
      <c r="C6" s="22">
        <v>0</v>
      </c>
      <c r="D6" s="22">
        <v>1.8620000000000001</v>
      </c>
      <c r="E6" s="22">
        <v>14.564</v>
      </c>
      <c r="F6" s="3">
        <f t="shared" si="0"/>
        <v>0.62302520000000006</v>
      </c>
      <c r="G6" s="4">
        <f t="shared" si="1"/>
        <v>200.40536153892853</v>
      </c>
      <c r="H6" s="22" t="s">
        <v>629</v>
      </c>
      <c r="I6" s="22">
        <f t="shared" si="2"/>
        <v>14.999999999999947</v>
      </c>
      <c r="J6" s="5">
        <f t="shared" si="3"/>
        <v>3006.0804230839171</v>
      </c>
      <c r="K6" s="5"/>
    </row>
    <row r="7" spans="1:11">
      <c r="A7" s="1">
        <v>43923</v>
      </c>
      <c r="B7" s="2">
        <v>0.64179398148148148</v>
      </c>
      <c r="C7" s="22">
        <v>0</v>
      </c>
      <c r="D7" s="22">
        <v>1.8280000000000001</v>
      </c>
      <c r="E7" s="22">
        <v>14.603999999999999</v>
      </c>
      <c r="F7" s="3">
        <f t="shared" si="0"/>
        <v>0.61164879999999999</v>
      </c>
      <c r="G7" s="4">
        <f t="shared" si="1"/>
        <v>190.92384413407385</v>
      </c>
      <c r="H7" s="22" t="s">
        <v>629</v>
      </c>
      <c r="I7" s="22">
        <f t="shared" si="2"/>
        <v>14.999999999999947</v>
      </c>
      <c r="J7" s="5">
        <f t="shared" si="3"/>
        <v>2863.8576620110975</v>
      </c>
      <c r="K7" s="5"/>
    </row>
    <row r="8" spans="1:11">
      <c r="A8" s="1">
        <v>43923</v>
      </c>
      <c r="B8" s="2">
        <v>0.65221064814814811</v>
      </c>
      <c r="C8" s="22">
        <v>0</v>
      </c>
      <c r="D8" s="22">
        <v>1.835</v>
      </c>
      <c r="E8" s="22">
        <v>14.635999999999999</v>
      </c>
      <c r="F8" s="3">
        <f t="shared" si="0"/>
        <v>0.61399099999999995</v>
      </c>
      <c r="G8" s="4">
        <f t="shared" si="1"/>
        <v>192.8526660460067</v>
      </c>
      <c r="H8" s="22" t="s">
        <v>629</v>
      </c>
      <c r="I8" s="22">
        <f t="shared" si="2"/>
        <v>15.000000000000107</v>
      </c>
      <c r="J8" s="5">
        <f t="shared" si="3"/>
        <v>2892.7899906901212</v>
      </c>
      <c r="K8" s="5"/>
    </row>
    <row r="9" spans="1:11">
      <c r="A9" s="1">
        <v>43923</v>
      </c>
      <c r="B9" s="2">
        <v>0.66262731481481485</v>
      </c>
      <c r="C9" s="22">
        <v>0</v>
      </c>
      <c r="D9" s="22">
        <v>1.8240000000000001</v>
      </c>
      <c r="E9" s="22">
        <v>14.654</v>
      </c>
      <c r="F9" s="3">
        <f t="shared" si="0"/>
        <v>0.61031040000000003</v>
      </c>
      <c r="G9" s="4">
        <f t="shared" si="1"/>
        <v>189.82705061397567</v>
      </c>
      <c r="H9" s="22" t="s">
        <v>629</v>
      </c>
      <c r="I9" s="22">
        <f t="shared" si="2"/>
        <v>15.000000000000107</v>
      </c>
      <c r="J9" s="5">
        <f t="shared" si="3"/>
        <v>2847.4057592096551</v>
      </c>
      <c r="K9" s="5"/>
    </row>
    <row r="10" spans="1:11">
      <c r="A10" s="1">
        <v>43923</v>
      </c>
      <c r="B10" s="2">
        <v>0.67304398148148159</v>
      </c>
      <c r="C10" s="22">
        <v>0</v>
      </c>
      <c r="D10" s="22">
        <v>1.8080000000000001</v>
      </c>
      <c r="E10" s="22">
        <v>14.67</v>
      </c>
      <c r="F10" s="3">
        <f t="shared" si="0"/>
        <v>0.60495680000000007</v>
      </c>
      <c r="G10" s="4">
        <f t="shared" si="1"/>
        <v>185.47895799642464</v>
      </c>
      <c r="H10" s="22" t="s">
        <v>629</v>
      </c>
      <c r="I10" s="22">
        <f t="shared" si="2"/>
        <v>14.999999999999947</v>
      </c>
      <c r="J10" s="5">
        <f t="shared" si="3"/>
        <v>2782.1843699463598</v>
      </c>
      <c r="K10" s="5"/>
    </row>
    <row r="11" spans="1:11">
      <c r="A11" s="1">
        <v>43923</v>
      </c>
      <c r="B11" s="2">
        <v>0.68346064814814822</v>
      </c>
      <c r="C11" s="22">
        <v>0</v>
      </c>
      <c r="D11" s="22">
        <v>1.798</v>
      </c>
      <c r="E11" s="22">
        <v>14.68</v>
      </c>
      <c r="F11" s="3">
        <f t="shared" si="0"/>
        <v>0.6016108</v>
      </c>
      <c r="G11" s="4">
        <f t="shared" si="1"/>
        <v>182.79304375892247</v>
      </c>
      <c r="H11" s="22" t="s">
        <v>629</v>
      </c>
      <c r="I11" s="22">
        <f t="shared" si="2"/>
        <v>14.999999999999789</v>
      </c>
      <c r="J11" s="5">
        <f t="shared" si="3"/>
        <v>2741.8956563837983</v>
      </c>
      <c r="K11" s="5"/>
    </row>
    <row r="12" spans="1:11">
      <c r="A12" s="1">
        <v>43923</v>
      </c>
      <c r="B12" s="2">
        <v>0.69387731481481474</v>
      </c>
      <c r="C12" s="22">
        <v>0</v>
      </c>
      <c r="D12" s="22">
        <v>1.806</v>
      </c>
      <c r="E12" s="22">
        <v>14.69</v>
      </c>
      <c r="F12" s="3">
        <f t="shared" si="0"/>
        <v>0.60428760000000004</v>
      </c>
      <c r="G12" s="4">
        <f t="shared" si="1"/>
        <v>184.93983191506146</v>
      </c>
      <c r="H12" s="22" t="s">
        <v>629</v>
      </c>
      <c r="I12" s="22">
        <f t="shared" si="2"/>
        <v>14.999999999999947</v>
      </c>
      <c r="J12" s="5">
        <f t="shared" si="3"/>
        <v>2774.097478725912</v>
      </c>
      <c r="K12" s="5"/>
    </row>
    <row r="13" spans="1:11">
      <c r="A13" s="1">
        <v>43923</v>
      </c>
      <c r="B13" s="2">
        <v>0.70429398148148137</v>
      </c>
      <c r="C13" s="22">
        <v>0</v>
      </c>
      <c r="D13" s="22">
        <v>1.796</v>
      </c>
      <c r="E13" s="22">
        <v>14.692</v>
      </c>
      <c r="F13" s="3">
        <f t="shared" si="0"/>
        <v>0.60094160000000008</v>
      </c>
      <c r="G13" s="4">
        <f t="shared" si="1"/>
        <v>182.25877236770231</v>
      </c>
      <c r="H13" s="22" t="s">
        <v>629</v>
      </c>
      <c r="I13" s="22">
        <f t="shared" si="2"/>
        <v>15.000000000000266</v>
      </c>
      <c r="J13" s="5">
        <f t="shared" si="3"/>
        <v>2733.8815855155831</v>
      </c>
      <c r="K13" s="5"/>
    </row>
    <row r="14" spans="1:11">
      <c r="A14" s="1">
        <v>43923</v>
      </c>
      <c r="B14" s="2">
        <v>0.71471064814814822</v>
      </c>
      <c r="C14" s="22">
        <v>0</v>
      </c>
      <c r="D14" s="22">
        <v>1.802</v>
      </c>
      <c r="E14" s="22">
        <v>14.702</v>
      </c>
      <c r="F14" s="3">
        <f t="shared" si="0"/>
        <v>0.60294920000000007</v>
      </c>
      <c r="G14" s="4">
        <f t="shared" si="1"/>
        <v>183.86449596051665</v>
      </c>
      <c r="H14" s="22" t="s">
        <v>629</v>
      </c>
      <c r="I14" s="22">
        <f t="shared" si="2"/>
        <v>14.999999999999947</v>
      </c>
      <c r="J14" s="5">
        <f t="shared" si="3"/>
        <v>2757.9674394077401</v>
      </c>
      <c r="K14" s="5"/>
    </row>
    <row r="15" spans="1:11">
      <c r="A15" s="1">
        <v>43923</v>
      </c>
      <c r="B15" s="2">
        <v>0.72512731481481485</v>
      </c>
      <c r="C15" s="22">
        <v>0</v>
      </c>
      <c r="D15" s="22">
        <v>1.8109999999999999</v>
      </c>
      <c r="E15" s="22">
        <v>14.709</v>
      </c>
      <c r="F15" s="3">
        <f t="shared" si="0"/>
        <v>0.60596059999999996</v>
      </c>
      <c r="G15" s="4">
        <f t="shared" si="1"/>
        <v>186.28947165613732</v>
      </c>
      <c r="H15" s="22" t="s">
        <v>629</v>
      </c>
      <c r="I15" s="22">
        <f t="shared" si="2"/>
        <v>14.999999999999789</v>
      </c>
      <c r="J15" s="5">
        <f t="shared" si="3"/>
        <v>2794.3420748420203</v>
      </c>
      <c r="K15" s="5"/>
    </row>
    <row r="16" spans="1:11">
      <c r="A16" s="1">
        <v>43923</v>
      </c>
      <c r="B16" s="2">
        <v>0.73554398148148137</v>
      </c>
      <c r="C16" s="22">
        <v>0</v>
      </c>
      <c r="D16" s="22">
        <v>1.7549999999999999</v>
      </c>
      <c r="E16" s="22">
        <v>14.714</v>
      </c>
      <c r="F16" s="3">
        <f t="shared" si="0"/>
        <v>0.58722299999999994</v>
      </c>
      <c r="G16" s="4">
        <f t="shared" si="1"/>
        <v>171.51875450556273</v>
      </c>
      <c r="H16" s="22" t="s">
        <v>629</v>
      </c>
      <c r="I16" s="22">
        <f t="shared" si="2"/>
        <v>15.000000000000107</v>
      </c>
      <c r="J16" s="5">
        <f t="shared" si="3"/>
        <v>2572.781317583459</v>
      </c>
      <c r="K16" s="5"/>
    </row>
    <row r="17" spans="1:11">
      <c r="A17" s="1">
        <v>43923</v>
      </c>
      <c r="B17" s="2">
        <v>0.74596064814814811</v>
      </c>
      <c r="C17" s="22">
        <v>0</v>
      </c>
      <c r="D17" s="22">
        <v>1.7609999999999999</v>
      </c>
      <c r="E17" s="22">
        <v>14.72</v>
      </c>
      <c r="F17" s="3">
        <f t="shared" si="0"/>
        <v>0.58923059999999994</v>
      </c>
      <c r="G17" s="4">
        <f t="shared" si="1"/>
        <v>173.06525748589712</v>
      </c>
      <c r="H17" s="22" t="s">
        <v>629</v>
      </c>
      <c r="I17" s="22">
        <f t="shared" si="2"/>
        <v>15.000000000000107</v>
      </c>
      <c r="J17" s="5">
        <f t="shared" si="3"/>
        <v>2595.9788622884753</v>
      </c>
      <c r="K17" s="5"/>
    </row>
    <row r="18" spans="1:11">
      <c r="A18" s="1">
        <v>43923</v>
      </c>
      <c r="B18" s="2">
        <v>0.75637731481481485</v>
      </c>
      <c r="C18" s="22">
        <v>0</v>
      </c>
      <c r="D18" s="22">
        <v>1.77</v>
      </c>
      <c r="E18" s="22">
        <v>14.731</v>
      </c>
      <c r="F18" s="3">
        <f t="shared" si="0"/>
        <v>0.59224200000000005</v>
      </c>
      <c r="G18" s="4">
        <f t="shared" si="1"/>
        <v>175.40116645477812</v>
      </c>
      <c r="H18" s="22" t="s">
        <v>629</v>
      </c>
      <c r="I18" s="22">
        <f t="shared" si="2"/>
        <v>15.000000000000107</v>
      </c>
      <c r="J18" s="5">
        <f t="shared" si="3"/>
        <v>2631.0174968216907</v>
      </c>
      <c r="K18" s="5"/>
    </row>
    <row r="19" spans="1:11">
      <c r="A19" s="1">
        <v>43923</v>
      </c>
      <c r="B19" s="2">
        <v>0.76679398148148159</v>
      </c>
      <c r="C19" s="22">
        <v>0</v>
      </c>
      <c r="D19" s="22">
        <v>1.7829999999999999</v>
      </c>
      <c r="E19" s="22">
        <v>14.731</v>
      </c>
      <c r="F19" s="3">
        <f t="shared" si="0"/>
        <v>0.59659180000000001</v>
      </c>
      <c r="G19" s="4">
        <f t="shared" si="1"/>
        <v>178.80959487434296</v>
      </c>
      <c r="H19" s="22" t="s">
        <v>629</v>
      </c>
      <c r="I19" s="22">
        <f t="shared" si="2"/>
        <v>14.999999999999789</v>
      </c>
      <c r="J19" s="5">
        <f t="shared" si="3"/>
        <v>2682.1439231151066</v>
      </c>
      <c r="K19" s="5"/>
    </row>
    <row r="20" spans="1:11">
      <c r="A20" s="1">
        <v>43923</v>
      </c>
      <c r="B20" s="2">
        <v>0.77721064814814811</v>
      </c>
      <c r="C20" s="22">
        <v>0</v>
      </c>
      <c r="D20" s="22">
        <v>1.726</v>
      </c>
      <c r="E20" s="22">
        <v>14.734</v>
      </c>
      <c r="F20" s="3">
        <f t="shared" si="0"/>
        <v>0.57751960000000002</v>
      </c>
      <c r="G20" s="4">
        <f t="shared" si="1"/>
        <v>164.16480985461774</v>
      </c>
      <c r="H20" s="22" t="s">
        <v>629</v>
      </c>
      <c r="I20" s="22">
        <f t="shared" si="2"/>
        <v>14.999999999999947</v>
      </c>
      <c r="J20" s="5">
        <f t="shared" si="3"/>
        <v>2462.4721478192573</v>
      </c>
      <c r="K20" s="5"/>
    </row>
    <row r="21" spans="1:11">
      <c r="A21" s="1">
        <v>43923</v>
      </c>
      <c r="B21" s="2">
        <v>0.78762731481481474</v>
      </c>
      <c r="C21" s="22">
        <v>0</v>
      </c>
      <c r="D21" s="22">
        <v>1.754</v>
      </c>
      <c r="E21" s="22">
        <v>14.73</v>
      </c>
      <c r="F21" s="3">
        <f t="shared" si="0"/>
        <v>0.58688839999999998</v>
      </c>
      <c r="G21" s="4">
        <f t="shared" si="1"/>
        <v>171.26184005150708</v>
      </c>
      <c r="H21" s="22" t="s">
        <v>629</v>
      </c>
      <c r="I21" s="22">
        <f t="shared" si="2"/>
        <v>15.000000000000266</v>
      </c>
      <c r="J21" s="5">
        <f t="shared" si="3"/>
        <v>2568.9276007726517</v>
      </c>
      <c r="K21" s="5"/>
    </row>
    <row r="22" spans="1:11">
      <c r="A22" s="1">
        <v>43923</v>
      </c>
      <c r="B22" s="2">
        <v>0.79804398148148159</v>
      </c>
      <c r="C22" s="22">
        <v>0</v>
      </c>
      <c r="D22" s="22">
        <v>1.7609999999999999</v>
      </c>
      <c r="E22" s="22">
        <v>14.722</v>
      </c>
      <c r="F22" s="3">
        <f t="shared" si="0"/>
        <v>0.58923059999999994</v>
      </c>
      <c r="G22" s="4">
        <f t="shared" si="1"/>
        <v>173.06525748589712</v>
      </c>
      <c r="H22" s="22" t="s">
        <v>629</v>
      </c>
      <c r="I22" s="22">
        <f t="shared" si="2"/>
        <v>14.999999999999947</v>
      </c>
      <c r="J22" s="5">
        <f t="shared" si="3"/>
        <v>2595.9788622884475</v>
      </c>
      <c r="K22" s="5"/>
    </row>
    <row r="23" spans="1:11">
      <c r="A23" s="1">
        <v>43923</v>
      </c>
      <c r="B23" s="2">
        <v>0.80846064814814822</v>
      </c>
      <c r="C23" s="22">
        <v>0</v>
      </c>
      <c r="D23" s="22">
        <v>1.7889999999999999</v>
      </c>
      <c r="E23" s="22">
        <v>14.72</v>
      </c>
      <c r="F23" s="3">
        <f t="shared" si="0"/>
        <v>0.5985994</v>
      </c>
      <c r="G23" s="4">
        <f t="shared" si="1"/>
        <v>180.39644812622603</v>
      </c>
      <c r="H23" s="22" t="s">
        <v>629</v>
      </c>
      <c r="I23" s="22">
        <f t="shared" si="2"/>
        <v>14.999999999999789</v>
      </c>
      <c r="J23" s="5">
        <f t="shared" si="3"/>
        <v>2705.9467218933523</v>
      </c>
      <c r="K23" s="5"/>
    </row>
    <row r="24" spans="1:11">
      <c r="A24" s="1">
        <v>43923</v>
      </c>
      <c r="B24" s="2">
        <v>0.81887731481481474</v>
      </c>
      <c r="C24" s="22">
        <v>0</v>
      </c>
      <c r="D24" s="22">
        <v>1.673</v>
      </c>
      <c r="E24" s="22">
        <v>14.715999999999999</v>
      </c>
      <c r="F24" s="3">
        <f t="shared" si="0"/>
        <v>0.5597858</v>
      </c>
      <c r="G24" s="4">
        <f t="shared" si="1"/>
        <v>151.23667177361668</v>
      </c>
      <c r="H24" s="22" t="s">
        <v>629</v>
      </c>
      <c r="I24" s="22">
        <f t="shared" si="2"/>
        <v>14.999999999999947</v>
      </c>
      <c r="J24" s="5">
        <f t="shared" si="3"/>
        <v>2268.5500766042419</v>
      </c>
      <c r="K24" s="5"/>
    </row>
    <row r="25" spans="1:11">
      <c r="A25" s="1">
        <v>43923</v>
      </c>
      <c r="B25" s="2">
        <v>0.82929398148148137</v>
      </c>
      <c r="C25" s="22">
        <v>0</v>
      </c>
      <c r="D25" s="22">
        <v>1.6830000000000001</v>
      </c>
      <c r="E25" s="22">
        <v>14.7</v>
      </c>
      <c r="F25" s="3">
        <f t="shared" si="0"/>
        <v>0.56313180000000007</v>
      </c>
      <c r="G25" s="4">
        <f t="shared" si="1"/>
        <v>153.62574842647103</v>
      </c>
      <c r="H25" s="22" t="s">
        <v>629</v>
      </c>
      <c r="I25" s="22">
        <f t="shared" si="2"/>
        <v>15.000000000000266</v>
      </c>
      <c r="J25" s="5">
        <f t="shared" si="3"/>
        <v>2304.3862263971064</v>
      </c>
      <c r="K25" s="5"/>
    </row>
    <row r="26" spans="1:11">
      <c r="A26" s="1">
        <v>43923</v>
      </c>
      <c r="B26" s="2">
        <v>0.83971064814814822</v>
      </c>
      <c r="C26" s="22">
        <v>0</v>
      </c>
      <c r="D26" s="22">
        <v>1.7010000000000001</v>
      </c>
      <c r="E26" s="22">
        <v>14.673</v>
      </c>
      <c r="F26" s="3">
        <f t="shared" si="0"/>
        <v>0.56915460000000007</v>
      </c>
      <c r="G26" s="4">
        <f t="shared" si="1"/>
        <v>157.98473697376281</v>
      </c>
      <c r="H26" s="22" t="s">
        <v>629</v>
      </c>
      <c r="I26" s="22">
        <f t="shared" si="2"/>
        <v>14.999999999999947</v>
      </c>
      <c r="J26" s="5">
        <f t="shared" si="3"/>
        <v>2369.7710546064336</v>
      </c>
      <c r="K26" s="5"/>
    </row>
    <row r="27" spans="1:11">
      <c r="A27" s="1">
        <v>43923</v>
      </c>
      <c r="B27" s="2">
        <v>0.85012731481481485</v>
      </c>
      <c r="C27" s="22">
        <v>0</v>
      </c>
      <c r="D27" s="22">
        <v>1.7190000000000001</v>
      </c>
      <c r="E27" s="22">
        <v>14.631</v>
      </c>
      <c r="F27" s="3">
        <f t="shared" si="0"/>
        <v>0.57517740000000006</v>
      </c>
      <c r="G27" s="4">
        <f t="shared" si="1"/>
        <v>162.41956475240139</v>
      </c>
      <c r="H27" s="22" t="s">
        <v>629</v>
      </c>
      <c r="I27" s="22">
        <f t="shared" si="2"/>
        <v>14.999999999999789</v>
      </c>
      <c r="J27" s="5">
        <f t="shared" si="3"/>
        <v>2436.2934712859865</v>
      </c>
      <c r="K27" s="5"/>
    </row>
    <row r="28" spans="1:11">
      <c r="A28" s="1">
        <v>43923</v>
      </c>
      <c r="B28" s="2">
        <v>0.86054398148148137</v>
      </c>
      <c r="C28" s="22">
        <v>0</v>
      </c>
      <c r="D28" s="22">
        <v>1.7190000000000001</v>
      </c>
      <c r="E28" s="22">
        <v>14.576000000000001</v>
      </c>
      <c r="F28" s="3">
        <f t="shared" si="0"/>
        <v>0.57517740000000006</v>
      </c>
      <c r="G28" s="4">
        <f t="shared" si="1"/>
        <v>162.41956475240139</v>
      </c>
      <c r="H28" s="22" t="s">
        <v>629</v>
      </c>
      <c r="I28" s="22">
        <f t="shared" si="2"/>
        <v>15.000000000000107</v>
      </c>
      <c r="J28" s="5">
        <f t="shared" si="3"/>
        <v>2436.2934712860383</v>
      </c>
      <c r="K28" s="5"/>
    </row>
    <row r="29" spans="1:11">
      <c r="A29" s="1">
        <v>43923</v>
      </c>
      <c r="B29" s="2">
        <v>0.87096064814814811</v>
      </c>
      <c r="C29" s="22">
        <v>0</v>
      </c>
      <c r="D29" s="22">
        <v>1.748</v>
      </c>
      <c r="E29" s="22">
        <v>14.518000000000001</v>
      </c>
      <c r="F29" s="3">
        <f t="shared" si="0"/>
        <v>0.58488079999999998</v>
      </c>
      <c r="G29" s="4">
        <f t="shared" si="1"/>
        <v>169.72536178394736</v>
      </c>
      <c r="H29" s="22" t="s">
        <v>629</v>
      </c>
      <c r="I29" s="22">
        <f t="shared" si="2"/>
        <v>15.000000000000107</v>
      </c>
      <c r="J29" s="5">
        <f t="shared" si="3"/>
        <v>2545.8804267592286</v>
      </c>
      <c r="K29" s="5"/>
    </row>
    <row r="30" spans="1:11">
      <c r="A30" s="1">
        <v>43923</v>
      </c>
      <c r="B30" s="2">
        <v>0.88137731481481485</v>
      </c>
      <c r="C30" s="22">
        <v>0</v>
      </c>
      <c r="D30" s="22">
        <v>1.7669999999999999</v>
      </c>
      <c r="E30" s="22">
        <v>14.446999999999999</v>
      </c>
      <c r="F30" s="3">
        <f t="shared" si="0"/>
        <v>0.59123819999999994</v>
      </c>
      <c r="G30" s="4">
        <f t="shared" si="1"/>
        <v>174.62037311896592</v>
      </c>
      <c r="H30" s="22" t="s">
        <v>629</v>
      </c>
      <c r="I30" s="22">
        <f t="shared" si="2"/>
        <v>15.000000000000107</v>
      </c>
      <c r="J30" s="5">
        <f t="shared" si="3"/>
        <v>2619.3055967845075</v>
      </c>
      <c r="K30" s="5"/>
    </row>
    <row r="31" spans="1:11">
      <c r="A31" s="1">
        <v>43923</v>
      </c>
      <c r="B31" s="2">
        <v>0.89179398148148159</v>
      </c>
      <c r="C31" s="22">
        <v>0</v>
      </c>
      <c r="D31" s="22">
        <v>1.7909999999999999</v>
      </c>
      <c r="E31" s="22">
        <v>14.374000000000001</v>
      </c>
      <c r="F31" s="3">
        <f t="shared" si="0"/>
        <v>0.59926860000000004</v>
      </c>
      <c r="G31" s="4">
        <f t="shared" si="1"/>
        <v>180.92733134133749</v>
      </c>
      <c r="H31" s="22" t="s">
        <v>629</v>
      </c>
      <c r="I31" s="22">
        <f t="shared" si="2"/>
        <v>14.999999999999789</v>
      </c>
      <c r="J31" s="5">
        <f t="shared" si="3"/>
        <v>2713.9099701200244</v>
      </c>
      <c r="K31" s="5"/>
    </row>
    <row r="32" spans="1:11">
      <c r="A32" s="1">
        <v>43923</v>
      </c>
      <c r="B32" s="2">
        <v>0.90221064814814811</v>
      </c>
      <c r="C32" s="22">
        <v>0</v>
      </c>
      <c r="D32" s="22">
        <v>1.7110000000000001</v>
      </c>
      <c r="E32" s="22">
        <v>14.308</v>
      </c>
      <c r="F32" s="3">
        <f t="shared" si="0"/>
        <v>0.57250060000000003</v>
      </c>
      <c r="G32" s="4">
        <f t="shared" si="1"/>
        <v>160.4391349679901</v>
      </c>
      <c r="H32" s="22" t="s">
        <v>629</v>
      </c>
      <c r="I32" s="22">
        <f t="shared" si="2"/>
        <v>14.999999999999947</v>
      </c>
      <c r="J32" s="5">
        <f t="shared" si="3"/>
        <v>2406.587024519843</v>
      </c>
      <c r="K32" s="5"/>
    </row>
    <row r="33" spans="1:11">
      <c r="A33" s="1">
        <v>43923</v>
      </c>
      <c r="B33" s="2">
        <v>0.91262731481481474</v>
      </c>
      <c r="C33" s="22">
        <v>0</v>
      </c>
      <c r="D33" s="22">
        <v>1.724</v>
      </c>
      <c r="E33" s="22">
        <v>14.243</v>
      </c>
      <c r="F33" s="3">
        <f t="shared" si="0"/>
        <v>0.57685039999999999</v>
      </c>
      <c r="G33" s="4">
        <f t="shared" si="1"/>
        <v>163.66498852229628</v>
      </c>
      <c r="H33" s="22" t="s">
        <v>629</v>
      </c>
      <c r="I33" s="22">
        <f t="shared" si="2"/>
        <v>15.000000000000266</v>
      </c>
      <c r="J33" s="5">
        <f t="shared" si="3"/>
        <v>2454.9748278344878</v>
      </c>
      <c r="K33" s="5"/>
    </row>
    <row r="34" spans="1:11">
      <c r="A34" s="1">
        <v>43923</v>
      </c>
      <c r="B34" s="2">
        <v>0.92304398148148159</v>
      </c>
      <c r="C34" s="22">
        <v>0</v>
      </c>
      <c r="D34" s="22">
        <v>1.7370000000000001</v>
      </c>
      <c r="E34" s="22">
        <v>14.180999999999999</v>
      </c>
      <c r="F34" s="3">
        <f t="shared" si="0"/>
        <v>0.58120020000000006</v>
      </c>
      <c r="G34" s="4">
        <f t="shared" si="1"/>
        <v>166.93073637568642</v>
      </c>
      <c r="H34" s="22" t="s">
        <v>629</v>
      </c>
      <c r="I34" s="22">
        <f t="shared" si="2"/>
        <v>14.999999999999947</v>
      </c>
      <c r="J34" s="5">
        <f t="shared" si="3"/>
        <v>2503.9610456352875</v>
      </c>
      <c r="K34" s="5"/>
    </row>
    <row r="35" spans="1:11">
      <c r="A35" s="1">
        <v>43923</v>
      </c>
      <c r="B35" s="2">
        <v>0.93346064814814822</v>
      </c>
      <c r="C35" s="22">
        <v>0</v>
      </c>
      <c r="D35" s="22">
        <v>1.7370000000000001</v>
      </c>
      <c r="E35" s="22">
        <v>14.106999999999999</v>
      </c>
      <c r="F35" s="3">
        <f t="shared" si="0"/>
        <v>0.58120020000000006</v>
      </c>
      <c r="G35" s="4">
        <f t="shared" si="1"/>
        <v>166.93073637568642</v>
      </c>
      <c r="H35" s="22" t="s">
        <v>629</v>
      </c>
      <c r="I35" s="22">
        <f t="shared" si="2"/>
        <v>14.999999999999789</v>
      </c>
      <c r="J35" s="5">
        <f t="shared" si="3"/>
        <v>2503.9610456352611</v>
      </c>
      <c r="K35" s="5"/>
    </row>
    <row r="36" spans="1:11">
      <c r="A36" s="1">
        <v>43923</v>
      </c>
      <c r="B36" s="2">
        <v>0.94387731481481474</v>
      </c>
      <c r="C36" s="22">
        <v>0</v>
      </c>
      <c r="D36" s="22">
        <v>1.708</v>
      </c>
      <c r="E36" s="22">
        <v>14.039</v>
      </c>
      <c r="F36" s="3">
        <f t="shared" si="0"/>
        <v>0.57149680000000003</v>
      </c>
      <c r="G36" s="4">
        <f t="shared" si="1"/>
        <v>159.70035265685695</v>
      </c>
      <c r="H36" s="22" t="s">
        <v>629</v>
      </c>
      <c r="I36" s="22">
        <f t="shared" si="2"/>
        <v>14.999999999999947</v>
      </c>
      <c r="J36" s="5">
        <f t="shared" si="3"/>
        <v>2395.5052898528456</v>
      </c>
      <c r="K36" s="5"/>
    </row>
    <row r="37" spans="1:11">
      <c r="A37" s="1">
        <v>43923</v>
      </c>
      <c r="B37" s="2">
        <v>0.95429398148148137</v>
      </c>
      <c r="C37" s="22">
        <v>0</v>
      </c>
      <c r="D37" s="22">
        <v>1.7230000000000001</v>
      </c>
      <c r="E37" s="22">
        <v>13.962999999999999</v>
      </c>
      <c r="F37" s="3">
        <f t="shared" si="0"/>
        <v>0.57651580000000002</v>
      </c>
      <c r="G37" s="4">
        <f t="shared" si="1"/>
        <v>163.4154319910636</v>
      </c>
      <c r="H37" s="22" t="s">
        <v>629</v>
      </c>
      <c r="I37" s="22">
        <f t="shared" si="2"/>
        <v>15.000000000000266</v>
      </c>
      <c r="J37" s="5">
        <f t="shared" si="3"/>
        <v>2451.2314798659977</v>
      </c>
      <c r="K37" s="5"/>
    </row>
    <row r="38" spans="1:11">
      <c r="A38" s="1">
        <v>43923</v>
      </c>
      <c r="B38" s="2">
        <v>0.96471064814814822</v>
      </c>
      <c r="C38" s="22">
        <v>0</v>
      </c>
      <c r="D38" s="22">
        <v>1.73</v>
      </c>
      <c r="E38" s="22">
        <v>13.901999999999999</v>
      </c>
      <c r="F38" s="3">
        <f t="shared" si="0"/>
        <v>0.57885799999999998</v>
      </c>
      <c r="G38" s="4">
        <f t="shared" si="1"/>
        <v>165.16728801316074</v>
      </c>
      <c r="H38" s="22" t="s">
        <v>629</v>
      </c>
      <c r="I38" s="22">
        <f t="shared" si="2"/>
        <v>14.999999999999947</v>
      </c>
      <c r="J38" s="5">
        <f t="shared" si="3"/>
        <v>2477.5093201974023</v>
      </c>
      <c r="K38" s="5"/>
    </row>
    <row r="39" spans="1:11">
      <c r="A39" s="1">
        <v>43923</v>
      </c>
      <c r="B39" s="2">
        <v>0.97512731481481485</v>
      </c>
      <c r="C39" s="22">
        <v>0</v>
      </c>
      <c r="D39" s="22">
        <v>1.7310000000000001</v>
      </c>
      <c r="E39" s="22">
        <v>13.836</v>
      </c>
      <c r="F39" s="3">
        <f t="shared" si="0"/>
        <v>0.57919260000000006</v>
      </c>
      <c r="G39" s="4">
        <f t="shared" si="1"/>
        <v>165.41849878349282</v>
      </c>
      <c r="H39" s="22" t="s">
        <v>629</v>
      </c>
      <c r="I39" s="22">
        <f t="shared" si="2"/>
        <v>14.999999999999789</v>
      </c>
      <c r="J39" s="5">
        <f t="shared" si="3"/>
        <v>2481.2774817523573</v>
      </c>
      <c r="K39" s="5"/>
    </row>
    <row r="40" spans="1:11">
      <c r="A40" s="1">
        <v>43923</v>
      </c>
      <c r="B40" s="2">
        <v>0.98554398148148137</v>
      </c>
      <c r="C40" s="22">
        <v>0</v>
      </c>
      <c r="D40" s="22">
        <v>1.728</v>
      </c>
      <c r="E40" s="22">
        <v>13.776999999999999</v>
      </c>
      <c r="F40" s="3">
        <f t="shared" si="0"/>
        <v>0.57818880000000006</v>
      </c>
      <c r="G40" s="4">
        <f t="shared" si="1"/>
        <v>164.66557612168404</v>
      </c>
      <c r="H40" s="22" t="s">
        <v>629</v>
      </c>
      <c r="I40" s="22">
        <f t="shared" si="2"/>
        <v>15.000000000000107</v>
      </c>
      <c r="J40" s="5">
        <f t="shared" si="3"/>
        <v>2469.983641825278</v>
      </c>
      <c r="K40" s="5"/>
    </row>
    <row r="41" spans="1:11">
      <c r="A41" s="1">
        <v>43923</v>
      </c>
      <c r="B41" s="2">
        <v>0.99596064814814811</v>
      </c>
      <c r="C41" s="22">
        <v>0</v>
      </c>
      <c r="D41" s="22">
        <v>1.734</v>
      </c>
      <c r="E41" s="22">
        <v>13.73</v>
      </c>
      <c r="F41" s="3">
        <f t="shared" si="0"/>
        <v>0.58019640000000006</v>
      </c>
      <c r="G41" s="4">
        <f t="shared" si="1"/>
        <v>166.17355142653204</v>
      </c>
      <c r="H41" s="22" t="s">
        <v>629</v>
      </c>
      <c r="I41" s="22">
        <v>15</v>
      </c>
      <c r="J41" s="5">
        <f t="shared" si="3"/>
        <v>2492.6032713979807</v>
      </c>
      <c r="K41" s="5"/>
    </row>
    <row r="42" spans="1:11">
      <c r="A42" s="1">
        <v>43924</v>
      </c>
      <c r="B42" s="2">
        <v>6.3773148148148148E-3</v>
      </c>
      <c r="C42" s="22">
        <v>0</v>
      </c>
      <c r="D42" s="22">
        <v>1.7310000000000001</v>
      </c>
      <c r="E42" s="22">
        <v>13.691000000000001</v>
      </c>
      <c r="F42" s="3">
        <f t="shared" si="0"/>
        <v>0.57919260000000006</v>
      </c>
      <c r="G42" s="4">
        <f t="shared" si="1"/>
        <v>165.41849878349282</v>
      </c>
      <c r="H42" s="22" t="s">
        <v>629</v>
      </c>
      <c r="I42" s="22">
        <f t="shared" ref="I42:I47" si="4">CONVERT((B43-B42),"day","mn")</f>
        <v>15.000000000000002</v>
      </c>
      <c r="J42" s="5">
        <f t="shared" si="3"/>
        <v>2481.2774817523928</v>
      </c>
      <c r="K42" s="5"/>
    </row>
    <row r="43" spans="1:11">
      <c r="A43" s="1">
        <v>43924</v>
      </c>
      <c r="B43" s="2">
        <v>1.6793981481481483E-2</v>
      </c>
      <c r="C43" s="22">
        <v>0</v>
      </c>
      <c r="D43" s="22">
        <v>1.724</v>
      </c>
      <c r="E43" s="22">
        <v>13.661</v>
      </c>
      <c r="F43" s="3">
        <f t="shared" si="0"/>
        <v>0.57685039999999999</v>
      </c>
      <c r="G43" s="4">
        <f t="shared" si="1"/>
        <v>163.66498852229628</v>
      </c>
      <c r="H43" s="22" t="s">
        <v>629</v>
      </c>
      <c r="I43" s="22">
        <f t="shared" si="4"/>
        <v>14.999999999999996</v>
      </c>
      <c r="J43" s="5">
        <f t="shared" si="3"/>
        <v>2454.9748278344437</v>
      </c>
      <c r="K43" s="5"/>
    </row>
    <row r="44" spans="1:11">
      <c r="A44" s="1">
        <v>43924</v>
      </c>
      <c r="B44" s="2">
        <v>2.7210648148148147E-2</v>
      </c>
      <c r="C44" s="22">
        <v>0</v>
      </c>
      <c r="D44" s="22">
        <v>1.7729999999999999</v>
      </c>
      <c r="E44" s="22">
        <v>13.637</v>
      </c>
      <c r="F44" s="3">
        <f t="shared" si="0"/>
        <v>0.59324579999999993</v>
      </c>
      <c r="G44" s="4">
        <f t="shared" si="1"/>
        <v>176.1841198802727</v>
      </c>
      <c r="H44" s="22" t="s">
        <v>629</v>
      </c>
      <c r="I44" s="22">
        <f t="shared" si="4"/>
        <v>15.000000000000002</v>
      </c>
      <c r="J44" s="5">
        <f t="shared" si="3"/>
        <v>2642.7617982040911</v>
      </c>
      <c r="K44" s="5"/>
    </row>
    <row r="45" spans="1:11">
      <c r="A45" s="1">
        <v>43924</v>
      </c>
      <c r="B45" s="2">
        <v>3.7627314814814815E-2</v>
      </c>
      <c r="C45" s="22">
        <v>0</v>
      </c>
      <c r="D45" s="22">
        <v>1.772</v>
      </c>
      <c r="E45" s="22">
        <v>13.603999999999999</v>
      </c>
      <c r="F45" s="3">
        <f t="shared" si="0"/>
        <v>0.59291119999999997</v>
      </c>
      <c r="G45" s="4">
        <f t="shared" si="1"/>
        <v>175.92289525277917</v>
      </c>
      <c r="H45" s="22" t="s">
        <v>629</v>
      </c>
      <c r="I45" s="22">
        <f t="shared" si="4"/>
        <v>14.999999999999996</v>
      </c>
      <c r="J45" s="5">
        <f t="shared" si="3"/>
        <v>2638.8434287916871</v>
      </c>
      <c r="K45" s="5"/>
    </row>
    <row r="46" spans="1:11">
      <c r="A46" s="1">
        <v>43924</v>
      </c>
      <c r="B46" s="2">
        <v>4.8043981481481479E-2</v>
      </c>
      <c r="C46" s="22">
        <v>0</v>
      </c>
      <c r="D46" s="22">
        <v>1.7629999999999999</v>
      </c>
      <c r="E46" s="22">
        <v>13.564</v>
      </c>
      <c r="F46" s="3">
        <f t="shared" si="0"/>
        <v>0.58989979999999997</v>
      </c>
      <c r="G46" s="4">
        <f t="shared" si="1"/>
        <v>173.58267148932276</v>
      </c>
      <c r="H46" s="22" t="s">
        <v>629</v>
      </c>
      <c r="I46" s="22">
        <f t="shared" si="4"/>
        <v>14.999999999999996</v>
      </c>
      <c r="J46" s="5">
        <f t="shared" si="3"/>
        <v>2603.7400723398409</v>
      </c>
      <c r="K46" s="5"/>
    </row>
    <row r="47" spans="1:11">
      <c r="A47" s="1">
        <v>43924</v>
      </c>
      <c r="B47" s="2">
        <v>5.8460648148148144E-2</v>
      </c>
      <c r="C47" s="22">
        <v>0</v>
      </c>
      <c r="D47" s="22">
        <v>1.77</v>
      </c>
      <c r="E47" s="22">
        <v>13.526999999999999</v>
      </c>
      <c r="F47" s="3">
        <f t="shared" si="0"/>
        <v>0.59224200000000005</v>
      </c>
      <c r="G47" s="4">
        <f t="shared" si="1"/>
        <v>175.40116645477812</v>
      </c>
      <c r="H47" s="22" t="s">
        <v>629</v>
      </c>
      <c r="I47" s="22">
        <f t="shared" si="4"/>
        <v>14.999999999999996</v>
      </c>
      <c r="J47" s="5">
        <f t="shared" si="3"/>
        <v>2631.0174968216711</v>
      </c>
      <c r="K47" s="5"/>
    </row>
    <row r="48" spans="1:11">
      <c r="A48" s="1">
        <v>43924</v>
      </c>
      <c r="B48" s="2">
        <v>6.8877314814814808E-2</v>
      </c>
      <c r="C48" s="22">
        <v>0</v>
      </c>
      <c r="D48" s="22">
        <v>1.762</v>
      </c>
      <c r="E48" s="22">
        <v>13.478999999999999</v>
      </c>
      <c r="F48" s="3">
        <f t="shared" si="0"/>
        <v>0.58956520000000001</v>
      </c>
      <c r="G48" s="4">
        <f t="shared" si="1"/>
        <v>173.32384482461708</v>
      </c>
      <c r="H48" s="22" t="s">
        <v>630</v>
      </c>
      <c r="I48" s="22">
        <f t="shared" ref="I48:I49" si="5">CONVERT((B49-B48),"day","mn")</f>
        <v>15.000000000000007</v>
      </c>
      <c r="J48" s="5">
        <f t="shared" ref="J48:J49" si="6">G48*I48</f>
        <v>2599.8576723692577</v>
      </c>
      <c r="K48" s="22"/>
    </row>
    <row r="49" spans="1:10">
      <c r="A49" s="1">
        <v>43924</v>
      </c>
      <c r="B49" s="2">
        <v>7.9293981481481479E-2</v>
      </c>
      <c r="C49" s="22">
        <v>0</v>
      </c>
      <c r="D49" s="22">
        <v>1.756</v>
      </c>
      <c r="E49" s="22">
        <v>13.443</v>
      </c>
      <c r="F49" s="3">
        <f t="shared" si="0"/>
        <v>0.58755760000000001</v>
      </c>
      <c r="G49" s="4">
        <f t="shared" si="1"/>
        <v>171.77590768616912</v>
      </c>
      <c r="H49" s="22" t="s">
        <v>631</v>
      </c>
      <c r="I49" s="22">
        <f t="shared" si="5"/>
        <v>15.000000000000007</v>
      </c>
      <c r="J49" s="5">
        <f t="shared" si="6"/>
        <v>2576.6386152925379</v>
      </c>
    </row>
    <row r="50" spans="1:10">
      <c r="A50" s="1">
        <v>43924</v>
      </c>
      <c r="B50" s="2">
        <v>8.971064814814815E-2</v>
      </c>
      <c r="C50" s="22">
        <v>0</v>
      </c>
      <c r="D50" s="22">
        <v>1.75</v>
      </c>
      <c r="E50" s="22">
        <v>13.391999999999999</v>
      </c>
      <c r="F50" s="3">
        <f t="shared" si="0"/>
        <v>0.58555000000000001</v>
      </c>
      <c r="G50" s="4">
        <f t="shared" si="1"/>
        <v>170.23656778640415</v>
      </c>
      <c r="H50" s="22" t="s">
        <v>629</v>
      </c>
      <c r="I50" s="22">
        <f t="shared" ref="I50:I95" si="7">CONVERT((B51-B50),"day","mn")</f>
        <v>14.999999999999988</v>
      </c>
      <c r="J50" s="5">
        <f t="shared" ref="J50:J97" si="8">G50*I50</f>
        <v>2553.5485167960601</v>
      </c>
    </row>
    <row r="51" spans="1:10">
      <c r="A51" s="1">
        <v>43924</v>
      </c>
      <c r="B51" s="2">
        <v>0.10012731481481481</v>
      </c>
      <c r="C51" s="22">
        <v>0</v>
      </c>
      <c r="D51" s="22">
        <v>1.72</v>
      </c>
      <c r="E51" s="22">
        <v>13.337</v>
      </c>
      <c r="F51" s="3">
        <f t="shared" si="0"/>
        <v>0.57551200000000002</v>
      </c>
      <c r="G51" s="4">
        <f t="shared" si="1"/>
        <v>162.66817790174662</v>
      </c>
      <c r="H51" s="22" t="s">
        <v>629</v>
      </c>
      <c r="I51" s="22">
        <f t="shared" si="7"/>
        <v>15.000000000000007</v>
      </c>
      <c r="J51" s="5">
        <f t="shared" si="8"/>
        <v>2440.0226685262005</v>
      </c>
    </row>
    <row r="52" spans="1:10">
      <c r="A52" s="1">
        <v>43924</v>
      </c>
      <c r="B52" s="2">
        <v>0.11054398148148148</v>
      </c>
      <c r="C52" s="22">
        <v>0</v>
      </c>
      <c r="D52" s="22">
        <v>1.7949999999999999</v>
      </c>
      <c r="E52" s="22">
        <v>13.284000000000001</v>
      </c>
      <c r="F52" s="3">
        <f t="shared" si="0"/>
        <v>0.600607</v>
      </c>
      <c r="G52" s="4">
        <f t="shared" si="1"/>
        <v>181.99200005220686</v>
      </c>
      <c r="H52" s="22" t="s">
        <v>629</v>
      </c>
      <c r="I52" s="22">
        <f t="shared" si="7"/>
        <v>15.000000000000007</v>
      </c>
      <c r="J52" s="5">
        <f t="shared" si="8"/>
        <v>2729.8800007831042</v>
      </c>
    </row>
    <row r="53" spans="1:10">
      <c r="A53" s="1">
        <v>43924</v>
      </c>
      <c r="B53" s="2">
        <v>0.12096064814814815</v>
      </c>
      <c r="C53" s="22">
        <v>0</v>
      </c>
      <c r="D53" s="22">
        <v>1.7929999999999999</v>
      </c>
      <c r="E53" s="22">
        <v>13.236000000000001</v>
      </c>
      <c r="F53" s="3">
        <f t="shared" si="0"/>
        <v>0.59993779999999997</v>
      </c>
      <c r="G53" s="4">
        <f t="shared" si="1"/>
        <v>181.45918175656377</v>
      </c>
      <c r="H53" s="22" t="s">
        <v>629</v>
      </c>
      <c r="I53" s="22">
        <f t="shared" si="7"/>
        <v>15.000000000000007</v>
      </c>
      <c r="J53" s="5">
        <f t="shared" si="8"/>
        <v>2721.8877263484578</v>
      </c>
    </row>
    <row r="54" spans="1:10">
      <c r="A54" s="1">
        <v>43924</v>
      </c>
      <c r="B54" s="2">
        <v>0.13137731481481482</v>
      </c>
      <c r="C54" s="22">
        <v>0</v>
      </c>
      <c r="D54" s="22">
        <v>1.8</v>
      </c>
      <c r="E54" s="22">
        <v>13.19</v>
      </c>
      <c r="F54" s="3">
        <f t="shared" si="0"/>
        <v>0.60228000000000004</v>
      </c>
      <c r="G54" s="4">
        <f t="shared" si="1"/>
        <v>183.32828473008689</v>
      </c>
      <c r="H54" s="22" t="s">
        <v>629</v>
      </c>
      <c r="I54" s="22">
        <f t="shared" si="7"/>
        <v>14.999999999999988</v>
      </c>
      <c r="J54" s="5">
        <f t="shared" si="8"/>
        <v>2749.924270951301</v>
      </c>
    </row>
    <row r="55" spans="1:10">
      <c r="A55" s="1">
        <v>43924</v>
      </c>
      <c r="B55" s="2">
        <v>0.14179398148148148</v>
      </c>
      <c r="C55" s="22">
        <v>0</v>
      </c>
      <c r="D55" s="22">
        <v>1.8129999999999999</v>
      </c>
      <c r="E55" s="22">
        <v>13.153</v>
      </c>
      <c r="F55" s="3">
        <f t="shared" si="0"/>
        <v>0.6066298</v>
      </c>
      <c r="G55" s="4">
        <f t="shared" si="1"/>
        <v>186.83103144293719</v>
      </c>
      <c r="H55" s="22" t="s">
        <v>629</v>
      </c>
      <c r="I55" s="22">
        <f t="shared" si="7"/>
        <v>14.999999999999988</v>
      </c>
      <c r="J55" s="5">
        <f t="shared" si="8"/>
        <v>2802.4654716440555</v>
      </c>
    </row>
    <row r="56" spans="1:10">
      <c r="A56" s="1">
        <v>43924</v>
      </c>
      <c r="B56" s="2">
        <v>0.15221064814814814</v>
      </c>
      <c r="C56" s="22">
        <v>0</v>
      </c>
      <c r="D56" s="22">
        <v>1.76</v>
      </c>
      <c r="E56" s="22">
        <v>13.102</v>
      </c>
      <c r="F56" s="3">
        <f t="shared" si="0"/>
        <v>0.58889599999999998</v>
      </c>
      <c r="G56" s="4">
        <f t="shared" si="1"/>
        <v>172.8069093875834</v>
      </c>
      <c r="H56" s="22" t="s">
        <v>629</v>
      </c>
      <c r="I56" s="22">
        <f t="shared" si="7"/>
        <v>15.000000000000027</v>
      </c>
      <c r="J56" s="5">
        <f t="shared" si="8"/>
        <v>2592.1036408137556</v>
      </c>
    </row>
    <row r="57" spans="1:10">
      <c r="A57" s="1">
        <v>43924</v>
      </c>
      <c r="B57" s="2">
        <v>0.16262731481481482</v>
      </c>
      <c r="C57" s="22">
        <v>0</v>
      </c>
      <c r="D57" s="22">
        <v>1.7689999999999999</v>
      </c>
      <c r="E57" s="22">
        <v>13.031000000000001</v>
      </c>
      <c r="F57" s="3">
        <f t="shared" si="0"/>
        <v>0.59190739999999997</v>
      </c>
      <c r="G57" s="4">
        <f t="shared" si="1"/>
        <v>175.14066211345161</v>
      </c>
      <c r="H57" s="22" t="s">
        <v>629</v>
      </c>
      <c r="I57" s="22">
        <f t="shared" si="7"/>
        <v>14.999999999999988</v>
      </c>
      <c r="J57" s="5">
        <f t="shared" si="8"/>
        <v>2627.109931701772</v>
      </c>
    </row>
    <row r="58" spans="1:10">
      <c r="A58" s="1">
        <v>43924</v>
      </c>
      <c r="B58" s="2">
        <v>0.17304398148148148</v>
      </c>
      <c r="C58" s="22">
        <v>0</v>
      </c>
      <c r="D58" s="22">
        <v>1.7709999999999999</v>
      </c>
      <c r="E58" s="22">
        <v>12.971</v>
      </c>
      <c r="F58" s="3">
        <f t="shared" si="0"/>
        <v>0.59257660000000001</v>
      </c>
      <c r="G58" s="4">
        <f t="shared" si="1"/>
        <v>175.66191080608115</v>
      </c>
      <c r="H58" s="22" t="s">
        <v>629</v>
      </c>
      <c r="I58" s="22">
        <f t="shared" si="7"/>
        <v>14.999999999999988</v>
      </c>
      <c r="J58" s="5">
        <f t="shared" si="8"/>
        <v>2634.9286620912153</v>
      </c>
    </row>
    <row r="59" spans="1:10">
      <c r="A59" s="1">
        <v>43924</v>
      </c>
      <c r="B59" s="2">
        <v>0.18346064814814814</v>
      </c>
      <c r="C59" s="22">
        <v>0</v>
      </c>
      <c r="D59" s="22">
        <v>1.7729999999999999</v>
      </c>
      <c r="E59" s="22">
        <v>12.909000000000001</v>
      </c>
      <c r="F59" s="3">
        <f t="shared" si="0"/>
        <v>0.59324579999999993</v>
      </c>
      <c r="G59" s="4">
        <f t="shared" si="1"/>
        <v>176.1841198802727</v>
      </c>
      <c r="H59" s="22" t="s">
        <v>629</v>
      </c>
      <c r="I59" s="22">
        <f t="shared" si="7"/>
        <v>15.000000000000027</v>
      </c>
      <c r="J59" s="5">
        <f t="shared" si="8"/>
        <v>2642.7617982040952</v>
      </c>
    </row>
    <row r="60" spans="1:10">
      <c r="A60" s="1">
        <v>43924</v>
      </c>
      <c r="B60" s="2">
        <v>0.19387731481481482</v>
      </c>
      <c r="C60" s="22">
        <v>0</v>
      </c>
      <c r="D60" s="22">
        <v>1.71</v>
      </c>
      <c r="E60" s="22">
        <v>12.861000000000001</v>
      </c>
      <c r="F60" s="3">
        <f t="shared" si="0"/>
        <v>0.57216599999999995</v>
      </c>
      <c r="G60" s="4">
        <f t="shared" si="1"/>
        <v>160.19263937476882</v>
      </c>
      <c r="H60" s="22" t="s">
        <v>629</v>
      </c>
      <c r="I60" s="22">
        <f t="shared" si="7"/>
        <v>14.999999999999988</v>
      </c>
      <c r="J60" s="5">
        <f t="shared" si="8"/>
        <v>2402.8895906215303</v>
      </c>
    </row>
    <row r="61" spans="1:10">
      <c r="A61" s="1">
        <v>43924</v>
      </c>
      <c r="B61" s="2">
        <v>0.20429398148148148</v>
      </c>
      <c r="C61" s="22">
        <v>0</v>
      </c>
      <c r="D61" s="22">
        <v>1.708</v>
      </c>
      <c r="E61" s="22">
        <v>12.818</v>
      </c>
      <c r="F61" s="3">
        <f t="shared" si="0"/>
        <v>0.57149680000000003</v>
      </c>
      <c r="G61" s="4">
        <f t="shared" si="1"/>
        <v>159.70035265685695</v>
      </c>
      <c r="H61" s="22" t="s">
        <v>629</v>
      </c>
      <c r="I61" s="22">
        <f t="shared" si="7"/>
        <v>14.999999999999988</v>
      </c>
      <c r="J61" s="5">
        <f t="shared" si="8"/>
        <v>2395.5052898528525</v>
      </c>
    </row>
    <row r="62" spans="1:10">
      <c r="A62" s="1">
        <v>43924</v>
      </c>
      <c r="B62" s="2">
        <v>0.21471064814814814</v>
      </c>
      <c r="C62" s="22">
        <v>0</v>
      </c>
      <c r="D62" s="22">
        <v>1.726</v>
      </c>
      <c r="E62" s="22">
        <v>12.785</v>
      </c>
      <c r="F62" s="3">
        <f t="shared" si="0"/>
        <v>0.57751960000000002</v>
      </c>
      <c r="G62" s="4">
        <f t="shared" si="1"/>
        <v>164.16480985461774</v>
      </c>
      <c r="H62" s="22" t="s">
        <v>629</v>
      </c>
      <c r="I62" s="22">
        <f t="shared" si="7"/>
        <v>15.000000000000027</v>
      </c>
      <c r="J62" s="5">
        <f t="shared" si="8"/>
        <v>2462.4721478192705</v>
      </c>
    </row>
    <row r="63" spans="1:10">
      <c r="A63" s="1">
        <v>43924</v>
      </c>
      <c r="B63" s="2">
        <v>0.22512731481481482</v>
      </c>
      <c r="C63" s="22">
        <v>0</v>
      </c>
      <c r="D63" s="22">
        <v>1.7509999999999999</v>
      </c>
      <c r="E63" s="22">
        <v>12.76</v>
      </c>
      <c r="F63" s="3">
        <f t="shared" si="0"/>
        <v>0.58588459999999998</v>
      </c>
      <c r="G63" s="4">
        <f t="shared" si="1"/>
        <v>170.49252819149575</v>
      </c>
      <c r="H63" s="22" t="s">
        <v>629</v>
      </c>
      <c r="I63" s="22">
        <f t="shared" si="7"/>
        <v>14.999999999999988</v>
      </c>
      <c r="J63" s="5">
        <f t="shared" si="8"/>
        <v>2557.387922872434</v>
      </c>
    </row>
    <row r="64" spans="1:10">
      <c r="A64" s="1">
        <v>43924</v>
      </c>
      <c r="B64" s="2">
        <v>0.23554398148148148</v>
      </c>
      <c r="C64" s="22">
        <v>0</v>
      </c>
      <c r="D64" s="22">
        <v>1.708</v>
      </c>
      <c r="E64" s="22">
        <v>12.733000000000001</v>
      </c>
      <c r="F64" s="3">
        <f t="shared" si="0"/>
        <v>0.57149680000000003</v>
      </c>
      <c r="G64" s="4">
        <f t="shared" si="1"/>
        <v>159.70035265685695</v>
      </c>
      <c r="H64" s="22" t="s">
        <v>629</v>
      </c>
      <c r="I64" s="22">
        <f t="shared" si="7"/>
        <v>14.999999999999988</v>
      </c>
      <c r="J64" s="5">
        <f t="shared" si="8"/>
        <v>2395.5052898528525</v>
      </c>
    </row>
    <row r="65" spans="1:10">
      <c r="A65" s="1">
        <v>43924</v>
      </c>
      <c r="B65" s="2">
        <v>0.24596064814814814</v>
      </c>
      <c r="C65" s="22">
        <v>0</v>
      </c>
      <c r="D65" s="22">
        <v>1.734</v>
      </c>
      <c r="E65" s="22">
        <v>12.71</v>
      </c>
      <c r="F65" s="3">
        <f t="shared" si="0"/>
        <v>0.58019640000000006</v>
      </c>
      <c r="G65" s="4">
        <f t="shared" si="1"/>
        <v>166.17355142653204</v>
      </c>
      <c r="H65" s="22" t="s">
        <v>629</v>
      </c>
      <c r="I65" s="22">
        <f t="shared" si="7"/>
        <v>14.999999999999988</v>
      </c>
      <c r="J65" s="5">
        <f t="shared" si="8"/>
        <v>2492.6032713979785</v>
      </c>
    </row>
    <row r="66" spans="1:10">
      <c r="A66" s="1">
        <v>43924</v>
      </c>
      <c r="B66" s="2">
        <v>0.25637731481481479</v>
      </c>
      <c r="C66" s="22">
        <v>0</v>
      </c>
      <c r="D66" s="22">
        <v>1.7649999999999999</v>
      </c>
      <c r="E66" s="22">
        <v>12.683</v>
      </c>
      <c r="F66" s="3">
        <f t="shared" ref="F66:F99" si="9">D66*0.3346</f>
        <v>0.59056900000000001</v>
      </c>
      <c r="G66" s="4">
        <f t="shared" ref="G66:G99" si="10">695.6*(F66^2.63)</f>
        <v>174.10104313891983</v>
      </c>
      <c r="H66" s="22" t="s">
        <v>629</v>
      </c>
      <c r="I66" s="22">
        <f t="shared" si="7"/>
        <v>15.000000000000027</v>
      </c>
      <c r="J66" s="5">
        <f t="shared" si="8"/>
        <v>2611.5156470838024</v>
      </c>
    </row>
    <row r="67" spans="1:10">
      <c r="A67" s="1">
        <v>43924</v>
      </c>
      <c r="B67" s="2">
        <v>0.26679398148148148</v>
      </c>
      <c r="C67" s="22">
        <v>0</v>
      </c>
      <c r="D67" s="22">
        <v>1.7709999999999999</v>
      </c>
      <c r="E67" s="22">
        <v>12.656000000000001</v>
      </c>
      <c r="F67" s="3">
        <f t="shared" si="9"/>
        <v>0.59257660000000001</v>
      </c>
      <c r="G67" s="4">
        <f t="shared" si="10"/>
        <v>175.66191080608115</v>
      </c>
      <c r="H67" s="22" t="s">
        <v>629</v>
      </c>
      <c r="I67" s="22">
        <f t="shared" si="7"/>
        <v>15.000000000000027</v>
      </c>
      <c r="J67" s="5">
        <f t="shared" si="8"/>
        <v>2634.9286620912221</v>
      </c>
    </row>
    <row r="68" spans="1:10">
      <c r="A68" s="1">
        <v>43924</v>
      </c>
      <c r="B68" s="2">
        <v>0.27721064814814816</v>
      </c>
      <c r="C68" s="22">
        <v>0</v>
      </c>
      <c r="D68" s="22">
        <v>1.7150000000000001</v>
      </c>
      <c r="E68" s="22">
        <v>12.62</v>
      </c>
      <c r="F68" s="3">
        <f t="shared" si="9"/>
        <v>0.57383899999999999</v>
      </c>
      <c r="G68" s="4">
        <f t="shared" si="10"/>
        <v>161.42746758777474</v>
      </c>
      <c r="H68" s="22" t="s">
        <v>629</v>
      </c>
      <c r="I68" s="22">
        <f t="shared" si="7"/>
        <v>14.999999999999947</v>
      </c>
      <c r="J68" s="5">
        <f t="shared" si="8"/>
        <v>2421.4120138166127</v>
      </c>
    </row>
    <row r="69" spans="1:10">
      <c r="A69" s="1">
        <v>43924</v>
      </c>
      <c r="B69" s="2">
        <v>0.28762731481481479</v>
      </c>
      <c r="C69" s="22">
        <v>0</v>
      </c>
      <c r="D69" s="22">
        <v>1.724</v>
      </c>
      <c r="E69" s="22">
        <v>12.574999999999999</v>
      </c>
      <c r="F69" s="3">
        <f t="shared" si="9"/>
        <v>0.57685039999999999</v>
      </c>
      <c r="G69" s="4">
        <f t="shared" si="10"/>
        <v>163.66498852229628</v>
      </c>
      <c r="H69" s="22" t="s">
        <v>629</v>
      </c>
      <c r="I69" s="22">
        <f t="shared" si="7"/>
        <v>15.000000000000027</v>
      </c>
      <c r="J69" s="5">
        <f t="shared" si="8"/>
        <v>2454.9748278344487</v>
      </c>
    </row>
    <row r="70" spans="1:10">
      <c r="A70" s="1">
        <v>43924</v>
      </c>
      <c r="B70" s="2">
        <v>0.29804398148148148</v>
      </c>
      <c r="C70" s="22">
        <v>0</v>
      </c>
      <c r="D70" s="22">
        <v>1.7270000000000001</v>
      </c>
      <c r="E70" s="22">
        <v>12.532999999999999</v>
      </c>
      <c r="F70" s="3">
        <f t="shared" si="9"/>
        <v>0.5778542000000001</v>
      </c>
      <c r="G70" s="4">
        <f t="shared" si="10"/>
        <v>164.41507482819679</v>
      </c>
      <c r="H70" s="22" t="s">
        <v>629</v>
      </c>
      <c r="I70" s="22">
        <f t="shared" si="7"/>
        <v>15.000000000000027</v>
      </c>
      <c r="J70" s="5">
        <f t="shared" si="8"/>
        <v>2466.2261224229565</v>
      </c>
    </row>
    <row r="71" spans="1:10">
      <c r="A71" s="1">
        <v>43924</v>
      </c>
      <c r="B71" s="2">
        <v>0.30846064814814816</v>
      </c>
      <c r="C71" s="22">
        <v>0</v>
      </c>
      <c r="D71" s="22">
        <v>1.7330000000000001</v>
      </c>
      <c r="E71" s="22">
        <v>12.504</v>
      </c>
      <c r="F71" s="3">
        <f t="shared" si="9"/>
        <v>0.57986180000000009</v>
      </c>
      <c r="G71" s="4">
        <f t="shared" si="10"/>
        <v>165.92163040406245</v>
      </c>
      <c r="H71" s="22" t="s">
        <v>629</v>
      </c>
      <c r="I71" s="22">
        <f t="shared" si="7"/>
        <v>14.999999999999947</v>
      </c>
      <c r="J71" s="5">
        <f t="shared" si="8"/>
        <v>2488.8244560609278</v>
      </c>
    </row>
    <row r="72" spans="1:10">
      <c r="A72" s="1">
        <v>43924</v>
      </c>
      <c r="B72" s="2">
        <v>0.31887731481481479</v>
      </c>
      <c r="C72" s="22">
        <v>0</v>
      </c>
      <c r="D72" s="22">
        <v>1.7470000000000001</v>
      </c>
      <c r="E72" s="22">
        <v>12.477</v>
      </c>
      <c r="F72" s="3">
        <f t="shared" si="9"/>
        <v>0.58454620000000002</v>
      </c>
      <c r="G72" s="4">
        <f t="shared" si="10"/>
        <v>169.4701160149715</v>
      </c>
      <c r="H72" s="22" t="s">
        <v>629</v>
      </c>
      <c r="I72" s="22">
        <f t="shared" si="7"/>
        <v>15.000000000000027</v>
      </c>
      <c r="J72" s="5">
        <f t="shared" si="8"/>
        <v>2542.0517402245769</v>
      </c>
    </row>
    <row r="73" spans="1:10">
      <c r="A73" s="1">
        <v>43924</v>
      </c>
      <c r="B73" s="2">
        <v>0.32929398148148148</v>
      </c>
      <c r="C73" s="22">
        <v>0</v>
      </c>
      <c r="D73" s="22">
        <v>1.758</v>
      </c>
      <c r="E73" s="22">
        <v>12.449</v>
      </c>
      <c r="F73" s="3">
        <f t="shared" si="9"/>
        <v>0.58822680000000005</v>
      </c>
      <c r="G73" s="4">
        <f t="shared" si="10"/>
        <v>172.29093056976626</v>
      </c>
      <c r="H73" s="22" t="s">
        <v>629</v>
      </c>
      <c r="I73" s="22">
        <f t="shared" si="7"/>
        <v>15.000000000000027</v>
      </c>
      <c r="J73" s="5">
        <f t="shared" si="8"/>
        <v>2584.3639585464985</v>
      </c>
    </row>
    <row r="74" spans="1:10">
      <c r="A74" s="1">
        <v>43924</v>
      </c>
      <c r="B74" s="2">
        <v>0.33971064814814816</v>
      </c>
      <c r="C74" s="22">
        <v>0</v>
      </c>
      <c r="D74" s="22">
        <v>1.7589999999999999</v>
      </c>
      <c r="E74" s="22">
        <v>12.459</v>
      </c>
      <c r="F74" s="3">
        <f t="shared" si="9"/>
        <v>0.58856140000000001</v>
      </c>
      <c r="G74" s="4">
        <f t="shared" si="10"/>
        <v>172.5488004440783</v>
      </c>
      <c r="H74" s="22" t="s">
        <v>629</v>
      </c>
      <c r="I74" s="22">
        <f t="shared" si="7"/>
        <v>14.999999999999947</v>
      </c>
      <c r="J74" s="5">
        <f t="shared" si="8"/>
        <v>2588.2320066611651</v>
      </c>
    </row>
    <row r="75" spans="1:10">
      <c r="A75" s="1">
        <v>43924</v>
      </c>
      <c r="B75" s="2">
        <v>0.35012731481481479</v>
      </c>
      <c r="C75" s="22">
        <v>0</v>
      </c>
      <c r="D75" s="22">
        <v>1.7470000000000001</v>
      </c>
      <c r="E75" s="22">
        <v>12.512</v>
      </c>
      <c r="F75" s="3">
        <f t="shared" si="9"/>
        <v>0.58454620000000002</v>
      </c>
      <c r="G75" s="4">
        <f t="shared" si="10"/>
        <v>169.4701160149715</v>
      </c>
      <c r="H75" s="22" t="s">
        <v>629</v>
      </c>
      <c r="I75" s="22">
        <f t="shared" si="7"/>
        <v>15.000000000000027</v>
      </c>
      <c r="J75" s="5">
        <f t="shared" si="8"/>
        <v>2542.0517402245769</v>
      </c>
    </row>
    <row r="76" spans="1:10">
      <c r="A76" s="1">
        <v>43924</v>
      </c>
      <c r="B76" s="2">
        <v>0.36054398148148148</v>
      </c>
      <c r="C76" s="22">
        <v>0</v>
      </c>
      <c r="D76" s="22">
        <v>1.776</v>
      </c>
      <c r="E76" s="22">
        <v>12.602</v>
      </c>
      <c r="F76" s="3">
        <f t="shared" si="9"/>
        <v>0.59424960000000004</v>
      </c>
      <c r="G76" s="4">
        <f t="shared" si="10"/>
        <v>176.96923570126432</v>
      </c>
      <c r="H76" s="22" t="s">
        <v>629</v>
      </c>
      <c r="I76" s="22">
        <f t="shared" si="7"/>
        <v>15.000000000000027</v>
      </c>
      <c r="J76" s="5">
        <f t="shared" si="8"/>
        <v>2654.5385355189696</v>
      </c>
    </row>
    <row r="77" spans="1:10">
      <c r="A77" s="1">
        <v>43924</v>
      </c>
      <c r="B77" s="2">
        <v>0.37096064814814816</v>
      </c>
      <c r="C77" s="22">
        <v>0</v>
      </c>
      <c r="D77" s="22">
        <v>1.7749999999999999</v>
      </c>
      <c r="E77" s="22">
        <v>12.726000000000001</v>
      </c>
      <c r="F77" s="3">
        <f t="shared" si="9"/>
        <v>0.59391499999999997</v>
      </c>
      <c r="G77" s="4">
        <f t="shared" si="10"/>
        <v>176.70729001915933</v>
      </c>
      <c r="H77" s="22" t="s">
        <v>629</v>
      </c>
      <c r="I77" s="22">
        <f t="shared" si="7"/>
        <v>14.999999999999947</v>
      </c>
      <c r="J77" s="5">
        <f t="shared" si="8"/>
        <v>2650.6093502873805</v>
      </c>
    </row>
    <row r="78" spans="1:10">
      <c r="A78" s="1">
        <v>43924</v>
      </c>
      <c r="B78" s="2">
        <v>0.38137731481481479</v>
      </c>
      <c r="C78" s="22">
        <v>0</v>
      </c>
      <c r="D78" s="22">
        <v>1.7749999999999999</v>
      </c>
      <c r="E78" s="22">
        <v>12.922000000000001</v>
      </c>
      <c r="F78" s="3">
        <f t="shared" si="9"/>
        <v>0.59391499999999997</v>
      </c>
      <c r="G78" s="4">
        <f t="shared" si="10"/>
        <v>176.70729001915933</v>
      </c>
      <c r="H78" s="22" t="s">
        <v>629</v>
      </c>
      <c r="I78" s="22">
        <f t="shared" si="7"/>
        <v>15.000000000000027</v>
      </c>
      <c r="J78" s="5">
        <f t="shared" si="8"/>
        <v>2650.6093502873946</v>
      </c>
    </row>
    <row r="79" spans="1:10">
      <c r="A79" s="1">
        <v>43924</v>
      </c>
      <c r="B79" s="2">
        <v>0.39179398148148148</v>
      </c>
      <c r="C79" s="22">
        <v>0</v>
      </c>
      <c r="D79" s="22">
        <v>1.7589999999999999</v>
      </c>
      <c r="E79" s="22">
        <v>13.074999999999999</v>
      </c>
      <c r="F79" s="3">
        <f t="shared" si="9"/>
        <v>0.58856140000000001</v>
      </c>
      <c r="G79" s="4">
        <f t="shared" si="10"/>
        <v>172.5488004440783</v>
      </c>
      <c r="H79" s="22" t="s">
        <v>629</v>
      </c>
      <c r="I79" s="22">
        <f t="shared" si="7"/>
        <v>15.000000000000027</v>
      </c>
      <c r="J79" s="5">
        <f t="shared" si="8"/>
        <v>2588.2320066611792</v>
      </c>
    </row>
    <row r="80" spans="1:10">
      <c r="A80" s="1">
        <v>43924</v>
      </c>
      <c r="B80" s="2">
        <v>0.40221064814814816</v>
      </c>
      <c r="C80" s="22">
        <v>0</v>
      </c>
      <c r="D80" s="22">
        <v>1.8049999999999999</v>
      </c>
      <c r="E80" s="22">
        <v>13.201000000000001</v>
      </c>
      <c r="F80" s="3">
        <f t="shared" si="9"/>
        <v>0.60395299999999996</v>
      </c>
      <c r="G80" s="4">
        <f t="shared" si="10"/>
        <v>184.6706335276119</v>
      </c>
      <c r="H80" s="22" t="s">
        <v>629</v>
      </c>
      <c r="I80" s="22">
        <f t="shared" si="7"/>
        <v>14.999999999999947</v>
      </c>
      <c r="J80" s="5">
        <f t="shared" si="8"/>
        <v>2770.0595029141687</v>
      </c>
    </row>
    <row r="81" spans="1:11">
      <c r="A81" s="1">
        <v>43924</v>
      </c>
      <c r="B81" s="2">
        <v>0.41262731481481479</v>
      </c>
      <c r="C81" s="22">
        <v>0</v>
      </c>
      <c r="D81" s="22">
        <v>1.782</v>
      </c>
      <c r="E81" s="22">
        <v>13.298999999999999</v>
      </c>
      <c r="F81" s="3">
        <f t="shared" si="9"/>
        <v>0.59625720000000004</v>
      </c>
      <c r="G81" s="4">
        <f t="shared" si="10"/>
        <v>178.54596374578207</v>
      </c>
      <c r="H81" s="22" t="s">
        <v>629</v>
      </c>
      <c r="I81" s="22">
        <f t="shared" si="7"/>
        <v>15.000000000000027</v>
      </c>
      <c r="J81" s="5">
        <f t="shared" si="8"/>
        <v>2678.1894561867357</v>
      </c>
      <c r="K81" s="22"/>
    </row>
    <row r="82" spans="1:11">
      <c r="A82" s="1">
        <v>43924</v>
      </c>
      <c r="B82" s="2">
        <v>0.42304398148148148</v>
      </c>
      <c r="C82" s="22">
        <v>0</v>
      </c>
      <c r="D82" s="22">
        <v>1.7709999999999999</v>
      </c>
      <c r="E82" s="22">
        <v>13.366</v>
      </c>
      <c r="F82" s="3">
        <f t="shared" si="9"/>
        <v>0.59257660000000001</v>
      </c>
      <c r="G82" s="4">
        <f t="shared" si="10"/>
        <v>175.66191080608115</v>
      </c>
      <c r="H82" s="22" t="s">
        <v>629</v>
      </c>
      <c r="I82" s="22">
        <f t="shared" si="7"/>
        <v>15.000000000000027</v>
      </c>
      <c r="J82" s="5">
        <f t="shared" si="8"/>
        <v>2634.9286620912221</v>
      </c>
      <c r="K82" s="22"/>
    </row>
    <row r="83" spans="1:11">
      <c r="A83" s="1">
        <v>43924</v>
      </c>
      <c r="B83" s="2">
        <v>0.43346064814814816</v>
      </c>
      <c r="C83" s="22">
        <v>0</v>
      </c>
      <c r="D83" s="22">
        <v>1.7290000000000001</v>
      </c>
      <c r="E83" s="22">
        <v>13.441000000000001</v>
      </c>
      <c r="F83" s="3">
        <f t="shared" si="9"/>
        <v>0.57852340000000002</v>
      </c>
      <c r="G83" s="4">
        <f t="shared" si="10"/>
        <v>164.91631382127852</v>
      </c>
      <c r="H83" s="22" t="s">
        <v>629</v>
      </c>
      <c r="I83" s="22">
        <f t="shared" si="7"/>
        <v>14.999999999999947</v>
      </c>
      <c r="J83" s="5">
        <f t="shared" si="8"/>
        <v>2473.7447073191688</v>
      </c>
      <c r="K83" s="22"/>
    </row>
    <row r="84" spans="1:11">
      <c r="A84" s="1">
        <v>43924</v>
      </c>
      <c r="B84" s="2">
        <v>0.44387731481481479</v>
      </c>
      <c r="C84" s="22">
        <v>0</v>
      </c>
      <c r="D84" s="22">
        <v>1.867</v>
      </c>
      <c r="E84" s="22">
        <v>13.494</v>
      </c>
      <c r="F84" s="3">
        <f t="shared" si="9"/>
        <v>0.62469819999999998</v>
      </c>
      <c r="G84" s="4">
        <f t="shared" si="10"/>
        <v>201.8237832333177</v>
      </c>
      <c r="H84" s="22" t="s">
        <v>629</v>
      </c>
      <c r="I84" s="22">
        <f t="shared" si="7"/>
        <v>15.000000000000027</v>
      </c>
      <c r="J84" s="5">
        <f t="shared" si="8"/>
        <v>3027.3567484997707</v>
      </c>
      <c r="K84" s="22"/>
    </row>
    <row r="85" spans="1:11">
      <c r="A85" s="1">
        <v>43924</v>
      </c>
      <c r="B85" s="2">
        <v>0.45429398148148148</v>
      </c>
      <c r="C85" s="22">
        <v>0</v>
      </c>
      <c r="D85" s="22">
        <v>1.8480000000000001</v>
      </c>
      <c r="E85" s="22">
        <v>13.57</v>
      </c>
      <c r="F85" s="3">
        <f t="shared" si="9"/>
        <v>0.61834080000000002</v>
      </c>
      <c r="G85" s="4">
        <f t="shared" si="10"/>
        <v>196.46670410978876</v>
      </c>
      <c r="H85" s="22" t="s">
        <v>629</v>
      </c>
      <c r="I85" s="22">
        <f t="shared" si="7"/>
        <v>15.000000000000027</v>
      </c>
      <c r="J85" s="5">
        <f t="shared" si="8"/>
        <v>2947.0005616468366</v>
      </c>
      <c r="K85" s="22"/>
    </row>
    <row r="86" spans="1:11">
      <c r="A86" s="1">
        <v>43924</v>
      </c>
      <c r="B86" s="2">
        <v>0.46471064814814816</v>
      </c>
      <c r="C86" s="22">
        <v>0</v>
      </c>
      <c r="D86" s="22">
        <v>1.806</v>
      </c>
      <c r="E86" s="22">
        <v>13.638</v>
      </c>
      <c r="F86" s="3">
        <f t="shared" si="9"/>
        <v>0.60428760000000004</v>
      </c>
      <c r="G86" s="4">
        <f t="shared" si="10"/>
        <v>184.93983191506146</v>
      </c>
      <c r="H86" s="22" t="s">
        <v>629</v>
      </c>
      <c r="I86" s="22">
        <f t="shared" si="7"/>
        <v>14.999999999999947</v>
      </c>
      <c r="J86" s="5">
        <f t="shared" si="8"/>
        <v>2774.097478725912</v>
      </c>
      <c r="K86" s="22"/>
    </row>
    <row r="87" spans="1:11">
      <c r="A87" s="1">
        <v>43924</v>
      </c>
      <c r="B87" s="2">
        <v>0.47512731481481479</v>
      </c>
      <c r="C87" s="22">
        <v>0</v>
      </c>
      <c r="D87" s="22">
        <v>1.782</v>
      </c>
      <c r="E87" s="22">
        <v>13.688000000000001</v>
      </c>
      <c r="F87" s="3">
        <f t="shared" si="9"/>
        <v>0.59625720000000004</v>
      </c>
      <c r="G87" s="4">
        <f t="shared" si="10"/>
        <v>178.54596374578207</v>
      </c>
      <c r="H87" s="22" t="s">
        <v>629</v>
      </c>
      <c r="I87" s="22">
        <f t="shared" si="7"/>
        <v>15.000000000000027</v>
      </c>
      <c r="J87" s="5">
        <f t="shared" si="8"/>
        <v>2678.1894561867357</v>
      </c>
      <c r="K87" s="22"/>
    </row>
    <row r="88" spans="1:11">
      <c r="A88" s="6">
        <v>43924</v>
      </c>
      <c r="B88" s="7">
        <v>0.48554398148148148</v>
      </c>
      <c r="C88" s="8">
        <v>0</v>
      </c>
      <c r="D88" s="8">
        <f>AVERAGE(D87,D90)</f>
        <v>1.659</v>
      </c>
      <c r="E88" s="8">
        <v>12.334</v>
      </c>
      <c r="F88" s="3">
        <f t="shared" si="9"/>
        <v>0.55510140000000008</v>
      </c>
      <c r="G88" s="10">
        <f t="shared" si="10"/>
        <v>147.93085995279614</v>
      </c>
      <c r="H88" s="8" t="s">
        <v>629</v>
      </c>
      <c r="I88" s="8">
        <f t="shared" si="7"/>
        <v>11.683333333333296</v>
      </c>
      <c r="J88" s="11">
        <f t="shared" si="8"/>
        <v>1728.3255471151629</v>
      </c>
      <c r="K88" s="5" t="s">
        <v>632</v>
      </c>
    </row>
    <row r="89" spans="1:11">
      <c r="A89" s="6">
        <v>43924</v>
      </c>
      <c r="B89" s="7">
        <v>0.49365740740740738</v>
      </c>
      <c r="C89" s="8">
        <v>0</v>
      </c>
      <c r="D89" s="8">
        <f>AVERAGE(D87,D90)</f>
        <v>1.659</v>
      </c>
      <c r="E89" s="8">
        <v>14.401</v>
      </c>
      <c r="F89" s="3">
        <f t="shared" si="9"/>
        <v>0.55510140000000008</v>
      </c>
      <c r="G89" s="10">
        <f t="shared" si="10"/>
        <v>147.93085995279614</v>
      </c>
      <c r="H89" s="8" t="s">
        <v>629</v>
      </c>
      <c r="I89" s="8">
        <f t="shared" si="7"/>
        <v>14.999999999999947</v>
      </c>
      <c r="J89" s="11">
        <f t="shared" si="8"/>
        <v>2218.9628992919343</v>
      </c>
      <c r="K89" s="5" t="s">
        <v>632</v>
      </c>
    </row>
    <row r="90" spans="1:11">
      <c r="A90" s="1">
        <v>43924</v>
      </c>
      <c r="B90" s="2">
        <v>0.50407407407407401</v>
      </c>
      <c r="C90" s="22">
        <v>0</v>
      </c>
      <c r="D90" s="22">
        <v>1.536</v>
      </c>
      <c r="E90" s="22">
        <v>14.667</v>
      </c>
      <c r="F90" s="3">
        <f t="shared" si="9"/>
        <v>0.5139456</v>
      </c>
      <c r="G90" s="4">
        <f t="shared" si="10"/>
        <v>120.80132113377506</v>
      </c>
      <c r="H90" s="22" t="s">
        <v>629</v>
      </c>
      <c r="I90" s="22">
        <f t="shared" si="7"/>
        <v>15.000000000000107</v>
      </c>
      <c r="J90" s="5">
        <f t="shared" si="8"/>
        <v>1812.0198170066387</v>
      </c>
      <c r="K90" s="22"/>
    </row>
    <row r="91" spans="1:11">
      <c r="A91" s="1">
        <v>43924</v>
      </c>
      <c r="B91" s="2">
        <v>0.51449074074074075</v>
      </c>
      <c r="C91" s="22">
        <v>0</v>
      </c>
      <c r="D91" s="22">
        <v>1.4930000000000001</v>
      </c>
      <c r="E91" s="22">
        <v>14.784000000000001</v>
      </c>
      <c r="F91" s="3">
        <f t="shared" si="9"/>
        <v>0.49955780000000005</v>
      </c>
      <c r="G91" s="4">
        <f t="shared" si="10"/>
        <v>112.10889732401048</v>
      </c>
      <c r="H91" s="22" t="s">
        <v>629</v>
      </c>
      <c r="I91" s="22">
        <f t="shared" si="7"/>
        <v>14.999999999999947</v>
      </c>
      <c r="J91" s="5">
        <f t="shared" si="8"/>
        <v>1681.6334598601513</v>
      </c>
      <c r="K91" s="22"/>
    </row>
    <row r="92" spans="1:11">
      <c r="A92" s="1">
        <v>43924</v>
      </c>
      <c r="B92" s="2">
        <v>0.52490740740740738</v>
      </c>
      <c r="C92" s="22">
        <v>0</v>
      </c>
      <c r="D92" s="22">
        <v>1.679</v>
      </c>
      <c r="E92" s="22">
        <v>14.846</v>
      </c>
      <c r="F92" s="3">
        <f t="shared" si="9"/>
        <v>0.5617934</v>
      </c>
      <c r="G92" s="4">
        <f t="shared" si="10"/>
        <v>152.66733253838152</v>
      </c>
      <c r="H92" s="22" t="s">
        <v>629</v>
      </c>
      <c r="I92" s="22">
        <f t="shared" si="7"/>
        <v>14.999999999999947</v>
      </c>
      <c r="J92" s="5">
        <f t="shared" si="8"/>
        <v>2290.0099880757148</v>
      </c>
      <c r="K92" s="22"/>
    </row>
    <row r="93" spans="1:11">
      <c r="A93" s="1">
        <v>43924</v>
      </c>
      <c r="B93" s="2">
        <v>0.53532407407407401</v>
      </c>
      <c r="C93" s="22">
        <v>0</v>
      </c>
      <c r="D93" s="22">
        <v>1.633</v>
      </c>
      <c r="E93" s="22">
        <v>14.906000000000001</v>
      </c>
      <c r="F93" s="3">
        <f t="shared" si="9"/>
        <v>0.54640180000000005</v>
      </c>
      <c r="G93" s="4">
        <f t="shared" si="10"/>
        <v>141.91112813131576</v>
      </c>
      <c r="H93" s="22" t="s">
        <v>629</v>
      </c>
      <c r="I93" s="22">
        <f t="shared" si="7"/>
        <v>15.000000000000107</v>
      </c>
      <c r="J93" s="5">
        <f t="shared" si="8"/>
        <v>2128.6669219697515</v>
      </c>
      <c r="K93" s="22"/>
    </row>
    <row r="94" spans="1:11">
      <c r="A94" s="1">
        <v>43924</v>
      </c>
      <c r="B94" s="2">
        <v>0.54574074074074075</v>
      </c>
      <c r="C94" s="22">
        <v>0</v>
      </c>
      <c r="D94" s="22">
        <v>1.5720000000000001</v>
      </c>
      <c r="E94" s="22">
        <v>14.951000000000001</v>
      </c>
      <c r="F94" s="3">
        <f t="shared" si="9"/>
        <v>0.52599119999999999</v>
      </c>
      <c r="G94" s="4">
        <f t="shared" si="10"/>
        <v>128.39052399740802</v>
      </c>
      <c r="H94" s="22" t="s">
        <v>629</v>
      </c>
      <c r="I94" s="22">
        <f t="shared" si="7"/>
        <v>14.999999999999947</v>
      </c>
      <c r="J94" s="5">
        <f t="shared" si="8"/>
        <v>1925.8578599611135</v>
      </c>
      <c r="K94" s="22"/>
    </row>
    <row r="95" spans="1:11">
      <c r="A95" s="1">
        <v>43924</v>
      </c>
      <c r="B95" s="2">
        <v>0.55615740740740738</v>
      </c>
      <c r="C95" s="22">
        <v>0</v>
      </c>
      <c r="D95" s="22">
        <v>1.534</v>
      </c>
      <c r="E95" s="22">
        <v>14.971</v>
      </c>
      <c r="F95" s="3">
        <f t="shared" si="9"/>
        <v>0.51327640000000008</v>
      </c>
      <c r="G95" s="4">
        <f t="shared" si="10"/>
        <v>120.38807840425378</v>
      </c>
      <c r="H95" s="22" t="s">
        <v>629</v>
      </c>
      <c r="I95" s="22">
        <f t="shared" si="7"/>
        <v>14.999999999999947</v>
      </c>
      <c r="J95" s="5">
        <f t="shared" si="8"/>
        <v>1805.8211760638003</v>
      </c>
      <c r="K95" s="22"/>
    </row>
    <row r="96" spans="1:11">
      <c r="A96" s="1">
        <v>43924</v>
      </c>
      <c r="B96" s="2">
        <v>0.56657407407407401</v>
      </c>
      <c r="C96" s="22">
        <v>0</v>
      </c>
      <c r="D96" s="22">
        <v>1.6919999999999999</v>
      </c>
      <c r="E96" s="22">
        <v>14.978999999999999</v>
      </c>
      <c r="F96" s="3">
        <f t="shared" si="9"/>
        <v>0.56614319999999996</v>
      </c>
      <c r="G96" s="4">
        <f t="shared" si="10"/>
        <v>155.79579441152475</v>
      </c>
      <c r="H96" s="22" t="s">
        <v>629</v>
      </c>
      <c r="I96" s="22">
        <f t="shared" ref="I96:I98" si="11">CONVERT((B97-B96),"day","mn")</f>
        <v>15.000000000000107</v>
      </c>
      <c r="J96" s="5">
        <f t="shared" si="8"/>
        <v>2336.9369161728878</v>
      </c>
      <c r="K96" s="22"/>
    </row>
    <row r="97" spans="1:10">
      <c r="A97" s="1">
        <v>43924</v>
      </c>
      <c r="B97" s="2">
        <v>0.57699074074074075</v>
      </c>
      <c r="C97" s="22">
        <v>0</v>
      </c>
      <c r="D97" s="22">
        <v>1.6459999999999999</v>
      </c>
      <c r="E97" s="22">
        <v>14.956</v>
      </c>
      <c r="F97" s="3">
        <f t="shared" si="9"/>
        <v>0.55075160000000001</v>
      </c>
      <c r="G97" s="4">
        <f t="shared" si="10"/>
        <v>144.9016203177311</v>
      </c>
      <c r="H97" s="22" t="s">
        <v>629</v>
      </c>
      <c r="I97" s="22">
        <f t="shared" si="11"/>
        <v>14.999999999999947</v>
      </c>
      <c r="J97" s="5">
        <f t="shared" si="8"/>
        <v>2173.5243047659587</v>
      </c>
    </row>
    <row r="98" spans="1:10">
      <c r="A98" s="1">
        <v>43924</v>
      </c>
      <c r="B98" s="2">
        <v>0.58740740740740738</v>
      </c>
      <c r="C98" s="22">
        <v>0</v>
      </c>
      <c r="D98" s="22">
        <v>1.5940000000000001</v>
      </c>
      <c r="E98" s="22">
        <v>14.930999999999999</v>
      </c>
      <c r="F98" s="3">
        <f t="shared" si="9"/>
        <v>0.53335240000000006</v>
      </c>
      <c r="G98" s="4">
        <f t="shared" si="10"/>
        <v>133.17020261892424</v>
      </c>
      <c r="H98" s="22" t="s">
        <v>630</v>
      </c>
      <c r="I98" s="22">
        <f t="shared" si="11"/>
        <v>14.999999999999947</v>
      </c>
      <c r="J98" s="5">
        <f t="shared" ref="J98:J99" si="12">G98*I98</f>
        <v>1997.5530392838564</v>
      </c>
    </row>
    <row r="99" spans="1:10">
      <c r="A99" s="1">
        <v>43924</v>
      </c>
      <c r="B99" s="2">
        <v>0.59782407407407401</v>
      </c>
      <c r="C99" s="22">
        <v>0</v>
      </c>
      <c r="D99" s="22">
        <v>1.5569999999999999</v>
      </c>
      <c r="E99" s="22">
        <v>14.914</v>
      </c>
      <c r="F99" s="3">
        <f t="shared" si="9"/>
        <v>0.5209722</v>
      </c>
      <c r="G99" s="4">
        <f t="shared" si="10"/>
        <v>125.1935163334719</v>
      </c>
      <c r="H99" s="22" t="s">
        <v>631</v>
      </c>
      <c r="I99" s="22">
        <v>15</v>
      </c>
      <c r="J99" s="5">
        <f t="shared" si="12"/>
        <v>1877.9027450020785</v>
      </c>
    </row>
  </sheetData>
  <sheetProtection sheet="1" objects="1" scenarios="1"/>
  <phoneticPr fontId="2" type="noConversion"/>
  <conditionalFormatting sqref="F2:F99">
    <cfRule type="cellIs" dxfId="11" priority="2" operator="lessThan">
      <formula>0.15</formula>
    </cfRule>
  </conditionalFormatting>
  <conditionalFormatting sqref="F2:F99">
    <cfRule type="cellIs" dxfId="10" priority="1" operator="lessThan">
      <formula>0.06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52057-61AB-4CB6-87A0-B62BFCA922EB}">
  <sheetPr>
    <tabColor theme="5" tint="0.59999389629810485"/>
  </sheetPr>
  <dimension ref="A1:AI98"/>
  <sheetViews>
    <sheetView topLeftCell="G1" zoomScale="85" zoomScaleNormal="85" workbookViewId="0">
      <selection activeCell="AI1" sqref="AI1"/>
    </sheetView>
  </sheetViews>
  <sheetFormatPr defaultRowHeight="15"/>
  <cols>
    <col min="1" max="1" width="8.42578125" bestFit="1" customWidth="1"/>
    <col min="2" max="2" width="11.28515625" bestFit="1" customWidth="1"/>
    <col min="3" max="3" width="3.42578125" bestFit="1" customWidth="1"/>
    <col min="4" max="4" width="10.42578125" bestFit="1" customWidth="1"/>
    <col min="5" max="5" width="13.28515625" bestFit="1" customWidth="1"/>
    <col min="6" max="6" width="8.85546875" bestFit="1" customWidth="1"/>
    <col min="7" max="7" width="10.7109375" customWidth="1"/>
    <col min="8" max="8" width="12" bestFit="1" customWidth="1"/>
    <col min="9" max="9" width="7.85546875" bestFit="1" customWidth="1"/>
    <col min="10" max="10" width="11.85546875" bestFit="1" customWidth="1"/>
    <col min="11" max="11" width="16.7109375" bestFit="1" customWidth="1"/>
    <col min="13" max="13" width="8.42578125" bestFit="1" customWidth="1"/>
    <col min="14" max="14" width="11.28515625" bestFit="1" customWidth="1"/>
    <col min="15" max="15" width="3.42578125" bestFit="1" customWidth="1"/>
    <col min="16" max="16" width="13.140625" bestFit="1" customWidth="1"/>
    <col min="17" max="17" width="13.28515625" bestFit="1" customWidth="1"/>
    <col min="18" max="18" width="9.28515625" bestFit="1" customWidth="1"/>
    <col min="19" max="19" width="10.7109375" bestFit="1" customWidth="1"/>
    <col min="20" max="20" width="12" bestFit="1" customWidth="1"/>
    <col min="21" max="21" width="7.85546875" bestFit="1" customWidth="1"/>
    <col min="22" max="22" width="11.85546875" bestFit="1" customWidth="1"/>
    <col min="23" max="23" width="16.7109375" bestFit="1" customWidth="1"/>
    <col min="25" max="25" width="8.42578125" bestFit="1" customWidth="1"/>
    <col min="26" max="26" width="11.28515625" bestFit="1" customWidth="1"/>
    <col min="27" max="27" width="3.42578125" bestFit="1" customWidth="1"/>
    <col min="28" max="28" width="10.42578125" bestFit="1" customWidth="1"/>
    <col min="29" max="29" width="13.28515625" bestFit="1" customWidth="1"/>
    <col min="30" max="30" width="8.85546875" bestFit="1" customWidth="1"/>
    <col min="31" max="31" width="10.7109375" bestFit="1" customWidth="1"/>
    <col min="32" max="32" width="10.42578125" bestFit="1" customWidth="1"/>
    <col min="33" max="33" width="7.85546875" bestFit="1" customWidth="1"/>
    <col min="34" max="34" width="11.85546875" bestFit="1" customWidth="1"/>
    <col min="35" max="35" width="16.7109375" bestFit="1" customWidth="1"/>
  </cols>
  <sheetData>
    <row r="1" spans="1:35">
      <c r="A1" s="22" t="s">
        <v>244</v>
      </c>
      <c r="B1" s="22" t="s">
        <v>245</v>
      </c>
      <c r="C1" s="22" t="s">
        <v>622</v>
      </c>
      <c r="D1" s="22" t="s">
        <v>633</v>
      </c>
      <c r="E1" s="22" t="s">
        <v>624</v>
      </c>
      <c r="F1" s="22" t="s">
        <v>625</v>
      </c>
      <c r="G1" s="22" t="s">
        <v>626</v>
      </c>
      <c r="H1" s="22" t="s">
        <v>117</v>
      </c>
      <c r="I1" s="22" t="s">
        <v>627</v>
      </c>
      <c r="J1" s="22" t="s">
        <v>628</v>
      </c>
      <c r="K1" s="22" t="s">
        <v>634</v>
      </c>
      <c r="L1" s="22"/>
      <c r="M1" s="22" t="s">
        <v>244</v>
      </c>
      <c r="N1" s="22" t="s">
        <v>245</v>
      </c>
      <c r="O1" s="22" t="s">
        <v>622</v>
      </c>
      <c r="P1" s="22" t="s">
        <v>635</v>
      </c>
      <c r="Q1" s="22" t="s">
        <v>624</v>
      </c>
      <c r="R1" s="22" t="s">
        <v>636</v>
      </c>
      <c r="S1" s="22" t="s">
        <v>626</v>
      </c>
      <c r="T1" s="22" t="s">
        <v>117</v>
      </c>
      <c r="U1" s="22" t="s">
        <v>627</v>
      </c>
      <c r="V1" s="22" t="s">
        <v>628</v>
      </c>
      <c r="W1" s="22" t="s">
        <v>634</v>
      </c>
      <c r="X1" s="22"/>
      <c r="Y1" s="22" t="s">
        <v>244</v>
      </c>
      <c r="Z1" s="22" t="s">
        <v>245</v>
      </c>
      <c r="AA1" s="22" t="s">
        <v>622</v>
      </c>
      <c r="AB1" s="22" t="s">
        <v>633</v>
      </c>
      <c r="AC1" s="22" t="s">
        <v>624</v>
      </c>
      <c r="AD1" s="22" t="s">
        <v>625</v>
      </c>
      <c r="AE1" s="22" t="s">
        <v>626</v>
      </c>
      <c r="AF1" s="22" t="s">
        <v>117</v>
      </c>
      <c r="AG1" s="22" t="s">
        <v>627</v>
      </c>
      <c r="AH1" s="22" t="s">
        <v>628</v>
      </c>
      <c r="AI1" s="22" t="s">
        <v>634</v>
      </c>
    </row>
    <row r="2" spans="1:35">
      <c r="A2" s="1">
        <v>43923</v>
      </c>
      <c r="B2" s="2">
        <v>0.60416666666666663</v>
      </c>
      <c r="C2" s="22">
        <v>0</v>
      </c>
      <c r="D2" s="22">
        <v>1.139</v>
      </c>
      <c r="E2" s="22">
        <v>15.871</v>
      </c>
      <c r="F2" s="3">
        <f t="shared" ref="F2:F65" si="0">D2*0.3346</f>
        <v>0.38110939999999999</v>
      </c>
      <c r="G2" s="3">
        <f t="shared" ref="G2:G65" si="1">695.6*(F2^2.58)</f>
        <v>57.738792603242736</v>
      </c>
      <c r="H2" s="22" t="s">
        <v>637</v>
      </c>
      <c r="I2" s="22">
        <f>CONVERT((B3-B2),"day","mn")</f>
        <v>15.000000000000107</v>
      </c>
      <c r="J2" s="5">
        <f>G2*I2</f>
        <v>866.08188904864721</v>
      </c>
      <c r="K2" s="5">
        <f>SUM(J2:J99)</f>
        <v>51500.637357595901</v>
      </c>
      <c r="L2" s="22"/>
      <c r="M2" s="1">
        <v>43923</v>
      </c>
      <c r="N2" s="2">
        <v>0.60416666666666663</v>
      </c>
      <c r="O2" s="22">
        <v>0</v>
      </c>
      <c r="P2" s="22">
        <v>0.99</v>
      </c>
      <c r="Q2" s="22">
        <v>16.236000000000001</v>
      </c>
      <c r="R2" s="3">
        <f t="shared" ref="R2:R65" si="2">P2*0.3346</f>
        <v>0.33125399999999999</v>
      </c>
      <c r="S2" s="3">
        <f t="shared" ref="S2:S65" si="3">695.6*(R2^2.58)</f>
        <v>40.21381650259962</v>
      </c>
      <c r="T2" s="22" t="s">
        <v>638</v>
      </c>
      <c r="U2" s="22">
        <f>CONVERT((N3-N2),"day","mn")</f>
        <v>15.000000000000107</v>
      </c>
      <c r="V2" s="5">
        <f>S2*U2</f>
        <v>603.20724753899856</v>
      </c>
      <c r="W2" s="5">
        <f>SUM(V2:V99)</f>
        <v>33706.839400404649</v>
      </c>
      <c r="X2" s="22"/>
      <c r="Y2" s="1">
        <v>43923</v>
      </c>
      <c r="Z2" s="2">
        <v>0.60416666666666663</v>
      </c>
      <c r="AA2" s="22">
        <v>0</v>
      </c>
      <c r="AB2" s="22">
        <v>1.5620000000000001</v>
      </c>
      <c r="AC2" s="22">
        <v>15.465999999999999</v>
      </c>
      <c r="AD2" s="3">
        <f t="shared" ref="AD2:AD65" si="4">AB2*0.3346</f>
        <v>0.52264520000000003</v>
      </c>
      <c r="AE2" s="4">
        <f t="shared" ref="AE2:AE65" si="5">695.6*(AD2^2.63)</f>
        <v>126.25363601742598</v>
      </c>
      <c r="AF2" s="22" t="s">
        <v>639</v>
      </c>
      <c r="AG2" s="22">
        <f>CONVERT((Z3-Z2),"day","mn")</f>
        <v>15.000000000000107</v>
      </c>
      <c r="AH2" s="5">
        <f>AE2*AG2</f>
        <v>1893.8045402614032</v>
      </c>
      <c r="AI2" s="5">
        <f>SUM(AH2:AH99)</f>
        <v>133918.08563745519</v>
      </c>
    </row>
    <row r="3" spans="1:35">
      <c r="A3" s="1">
        <v>43923</v>
      </c>
      <c r="B3" s="2">
        <v>0.61458333333333337</v>
      </c>
      <c r="C3" s="22">
        <v>0</v>
      </c>
      <c r="D3" s="22">
        <v>1.1120000000000001</v>
      </c>
      <c r="E3" s="22">
        <v>15.802</v>
      </c>
      <c r="F3" s="3">
        <f t="shared" si="0"/>
        <v>0.37207520000000005</v>
      </c>
      <c r="G3" s="3">
        <f t="shared" si="1"/>
        <v>54.27337647694727</v>
      </c>
      <c r="H3" s="22" t="s">
        <v>637</v>
      </c>
      <c r="I3" s="22">
        <f t="shared" ref="I3:I66" si="6">CONVERT((B4-B3),"day","mn")</f>
        <v>14.999999999999947</v>
      </c>
      <c r="J3" s="5">
        <f t="shared" ref="J3:J66" si="7">G3*I3</f>
        <v>814.10064715420617</v>
      </c>
      <c r="K3" s="22"/>
      <c r="L3" s="22"/>
      <c r="M3" s="1">
        <v>43923</v>
      </c>
      <c r="N3" s="2">
        <v>0.61458333333333337</v>
      </c>
      <c r="O3" s="22">
        <v>0</v>
      </c>
      <c r="P3" s="22">
        <v>0.95899999999999996</v>
      </c>
      <c r="Q3" s="22">
        <v>16.172000000000001</v>
      </c>
      <c r="R3" s="3">
        <f t="shared" si="2"/>
        <v>0.32088139999999998</v>
      </c>
      <c r="S3" s="3">
        <f t="shared" si="3"/>
        <v>37.044905932824427</v>
      </c>
      <c r="T3" s="22" t="s">
        <v>638</v>
      </c>
      <c r="U3" s="22">
        <f t="shared" ref="U3:U66" si="8">CONVERT((N4-N3),"day","mn")</f>
        <v>14.999999999999947</v>
      </c>
      <c r="V3" s="5">
        <f t="shared" ref="V3:V66" si="9">S3*U3</f>
        <v>555.67358899236444</v>
      </c>
      <c r="W3" s="22"/>
      <c r="X3" s="22"/>
      <c r="Y3" s="1">
        <v>43923</v>
      </c>
      <c r="Z3" s="2">
        <v>0.61458333333333337</v>
      </c>
      <c r="AA3" s="22">
        <v>0</v>
      </c>
      <c r="AB3" s="22">
        <v>1.5349999999999999</v>
      </c>
      <c r="AC3" s="22">
        <v>15.49</v>
      </c>
      <c r="AD3" s="3">
        <f t="shared" si="4"/>
        <v>0.51361100000000004</v>
      </c>
      <c r="AE3" s="4">
        <f t="shared" si="5"/>
        <v>120.5945900645202</v>
      </c>
      <c r="AF3" s="22" t="s">
        <v>639</v>
      </c>
      <c r="AG3" s="22">
        <f t="shared" ref="AG3:AG66" si="10">CONVERT((Z4-Z3),"day","mn")</f>
        <v>14.999999999999947</v>
      </c>
      <c r="AH3" s="5">
        <f t="shared" ref="AH3:AH66" si="11">AE3*AG3</f>
        <v>1808.9188509677967</v>
      </c>
      <c r="AI3" s="22"/>
    </row>
    <row r="4" spans="1:35">
      <c r="A4" s="1">
        <v>43923</v>
      </c>
      <c r="B4" s="2">
        <v>0.625</v>
      </c>
      <c r="C4" s="22">
        <v>0</v>
      </c>
      <c r="D4" s="22">
        <v>1.0609999999999999</v>
      </c>
      <c r="E4" s="22">
        <v>15.736000000000001</v>
      </c>
      <c r="F4" s="3">
        <f t="shared" si="0"/>
        <v>0.35501060000000001</v>
      </c>
      <c r="G4" s="3">
        <f t="shared" si="1"/>
        <v>48.081961934593252</v>
      </c>
      <c r="H4" s="22" t="s">
        <v>637</v>
      </c>
      <c r="I4" s="22">
        <f t="shared" si="6"/>
        <v>14.999999999999947</v>
      </c>
      <c r="J4" s="5">
        <f t="shared" si="7"/>
        <v>721.22942901889621</v>
      </c>
      <c r="K4" s="22"/>
      <c r="L4" s="22"/>
      <c r="M4" s="1">
        <v>43923</v>
      </c>
      <c r="N4" s="2">
        <v>0.625</v>
      </c>
      <c r="O4" s="22">
        <v>0</v>
      </c>
      <c r="P4" s="22">
        <v>0.91300000000000003</v>
      </c>
      <c r="Q4" s="22">
        <v>16.079999999999998</v>
      </c>
      <c r="R4" s="3">
        <f t="shared" si="2"/>
        <v>0.30548980000000003</v>
      </c>
      <c r="S4" s="3">
        <f t="shared" si="3"/>
        <v>32.632556292825541</v>
      </c>
      <c r="T4" s="22" t="s">
        <v>638</v>
      </c>
      <c r="U4" s="22">
        <f t="shared" si="8"/>
        <v>14.999999999999947</v>
      </c>
      <c r="V4" s="5">
        <f t="shared" si="9"/>
        <v>489.48834439238135</v>
      </c>
      <c r="W4" s="22"/>
      <c r="X4" s="22"/>
      <c r="Y4" s="1">
        <v>43923</v>
      </c>
      <c r="Z4" s="2">
        <v>0.625</v>
      </c>
      <c r="AA4" s="22">
        <v>0</v>
      </c>
      <c r="AB4" s="22">
        <v>1.494</v>
      </c>
      <c r="AC4" s="22">
        <v>15.510999999999999</v>
      </c>
      <c r="AD4" s="3">
        <f t="shared" si="4"/>
        <v>0.49989240000000001</v>
      </c>
      <c r="AE4" s="4">
        <f t="shared" si="5"/>
        <v>112.30649101026725</v>
      </c>
      <c r="AF4" s="22" t="s">
        <v>639</v>
      </c>
      <c r="AG4" s="22">
        <f t="shared" si="10"/>
        <v>14.999999999999947</v>
      </c>
      <c r="AH4" s="5">
        <f t="shared" si="11"/>
        <v>1684.5973651540028</v>
      </c>
      <c r="AI4" s="22"/>
    </row>
    <row r="5" spans="1:35">
      <c r="A5" s="1">
        <v>43923</v>
      </c>
      <c r="B5" s="2">
        <v>0.63541666666666663</v>
      </c>
      <c r="C5" s="22">
        <v>0</v>
      </c>
      <c r="D5" s="22">
        <v>1.022</v>
      </c>
      <c r="E5" s="22">
        <v>15.635</v>
      </c>
      <c r="F5" s="3">
        <f t="shared" si="0"/>
        <v>0.34196120000000002</v>
      </c>
      <c r="G5" s="3">
        <f t="shared" si="1"/>
        <v>43.653573496027796</v>
      </c>
      <c r="H5" s="22" t="s">
        <v>637</v>
      </c>
      <c r="I5" s="22">
        <f t="shared" si="6"/>
        <v>15.000000000000107</v>
      </c>
      <c r="J5" s="5">
        <f t="shared" si="7"/>
        <v>654.80360244042163</v>
      </c>
      <c r="K5" s="22"/>
      <c r="L5" s="22"/>
      <c r="M5" s="1">
        <v>43923</v>
      </c>
      <c r="N5" s="2">
        <v>0.63541666666666663</v>
      </c>
      <c r="O5" s="22">
        <v>0</v>
      </c>
      <c r="P5" s="22">
        <v>0.88400000000000001</v>
      </c>
      <c r="Q5" s="22">
        <v>15.978</v>
      </c>
      <c r="R5" s="3">
        <f t="shared" si="2"/>
        <v>0.2957864</v>
      </c>
      <c r="S5" s="3">
        <f t="shared" si="3"/>
        <v>30.025021949405971</v>
      </c>
      <c r="T5" s="22" t="s">
        <v>638</v>
      </c>
      <c r="U5" s="22">
        <f t="shared" si="8"/>
        <v>15.000000000000107</v>
      </c>
      <c r="V5" s="5">
        <f t="shared" si="9"/>
        <v>450.37532924109274</v>
      </c>
      <c r="W5" s="22"/>
      <c r="X5" s="22"/>
      <c r="Y5" s="1">
        <v>43923</v>
      </c>
      <c r="Z5" s="2">
        <v>0.63541666666666663</v>
      </c>
      <c r="AA5" s="22">
        <v>0</v>
      </c>
      <c r="AB5" s="22">
        <v>1.4610000000000001</v>
      </c>
      <c r="AC5" s="22">
        <v>15.526</v>
      </c>
      <c r="AD5" s="3">
        <f t="shared" si="4"/>
        <v>0.48885060000000002</v>
      </c>
      <c r="AE5" s="4">
        <f t="shared" si="5"/>
        <v>105.89924273560634</v>
      </c>
      <c r="AF5" s="22" t="s">
        <v>639</v>
      </c>
      <c r="AG5" s="22">
        <f t="shared" si="10"/>
        <v>15.000000000000107</v>
      </c>
      <c r="AH5" s="5">
        <f t="shared" si="11"/>
        <v>1588.4886410341064</v>
      </c>
      <c r="AI5" s="22"/>
    </row>
    <row r="6" spans="1:35">
      <c r="A6" s="1">
        <v>43923</v>
      </c>
      <c r="B6" s="2">
        <v>0.64583333333333337</v>
      </c>
      <c r="C6" s="22">
        <v>0</v>
      </c>
      <c r="D6" s="22">
        <v>1.036</v>
      </c>
      <c r="E6" s="22">
        <v>15.526999999999999</v>
      </c>
      <c r="F6" s="3">
        <f t="shared" si="0"/>
        <v>0.3466456</v>
      </c>
      <c r="G6" s="3">
        <f t="shared" si="1"/>
        <v>45.213138902091067</v>
      </c>
      <c r="H6" s="22" t="s">
        <v>637</v>
      </c>
      <c r="I6" s="22">
        <f t="shared" si="6"/>
        <v>14.999999999999947</v>
      </c>
      <c r="J6" s="5">
        <f t="shared" si="7"/>
        <v>678.19708353136355</v>
      </c>
      <c r="K6" s="22"/>
      <c r="L6" s="22"/>
      <c r="M6" s="1">
        <v>43923</v>
      </c>
      <c r="N6" s="2">
        <v>0.64583333333333337</v>
      </c>
      <c r="O6" s="22">
        <v>0</v>
      </c>
      <c r="P6" s="22">
        <v>0.89300000000000002</v>
      </c>
      <c r="Q6" s="22">
        <v>15.818</v>
      </c>
      <c r="R6" s="3">
        <f t="shared" si="2"/>
        <v>0.2987978</v>
      </c>
      <c r="S6" s="3">
        <f t="shared" si="3"/>
        <v>30.820043954520649</v>
      </c>
      <c r="T6" s="22" t="s">
        <v>638</v>
      </c>
      <c r="U6" s="22">
        <f t="shared" si="8"/>
        <v>14.999999999999947</v>
      </c>
      <c r="V6" s="5">
        <f t="shared" si="9"/>
        <v>462.30065931780808</v>
      </c>
      <c r="W6" s="22"/>
      <c r="X6" s="22"/>
      <c r="Y6" s="1">
        <v>43923</v>
      </c>
      <c r="Z6" s="2">
        <v>0.64583333333333337</v>
      </c>
      <c r="AA6" s="22">
        <v>0</v>
      </c>
      <c r="AB6" s="22">
        <v>1.4870000000000001</v>
      </c>
      <c r="AC6" s="22">
        <v>15.542999999999999</v>
      </c>
      <c r="AD6" s="3">
        <f t="shared" si="4"/>
        <v>0.49755020000000005</v>
      </c>
      <c r="AE6" s="4">
        <f t="shared" si="5"/>
        <v>110.92785977798098</v>
      </c>
      <c r="AF6" s="22" t="s">
        <v>639</v>
      </c>
      <c r="AG6" s="22">
        <f t="shared" si="10"/>
        <v>14.999999999999947</v>
      </c>
      <c r="AH6" s="5">
        <f t="shared" si="11"/>
        <v>1663.9178966697089</v>
      </c>
      <c r="AI6" s="22"/>
    </row>
    <row r="7" spans="1:35">
      <c r="A7" s="1">
        <v>43923</v>
      </c>
      <c r="B7" s="2">
        <v>0.65625</v>
      </c>
      <c r="C7" s="22">
        <v>0</v>
      </c>
      <c r="D7" s="22">
        <v>1.0189999999999999</v>
      </c>
      <c r="E7" s="22">
        <v>15.481999999999999</v>
      </c>
      <c r="F7" s="3">
        <f t="shared" si="0"/>
        <v>0.34095739999999997</v>
      </c>
      <c r="G7" s="3">
        <f t="shared" si="1"/>
        <v>43.323734387412479</v>
      </c>
      <c r="H7" s="22" t="s">
        <v>637</v>
      </c>
      <c r="I7" s="22">
        <f t="shared" si="6"/>
        <v>14.999999999999947</v>
      </c>
      <c r="J7" s="5">
        <f t="shared" si="7"/>
        <v>649.85601581118488</v>
      </c>
      <c r="K7" s="22"/>
      <c r="L7" s="22"/>
      <c r="M7" s="1">
        <v>43923</v>
      </c>
      <c r="N7" s="2">
        <v>0.65625</v>
      </c>
      <c r="O7" s="22">
        <v>0</v>
      </c>
      <c r="P7" s="22">
        <v>0.874</v>
      </c>
      <c r="Q7" s="22">
        <v>15.64</v>
      </c>
      <c r="R7" s="3">
        <f t="shared" si="2"/>
        <v>0.29244039999999999</v>
      </c>
      <c r="S7" s="3">
        <f t="shared" si="3"/>
        <v>29.156540063620309</v>
      </c>
      <c r="T7" s="22" t="s">
        <v>638</v>
      </c>
      <c r="U7" s="22">
        <f t="shared" si="8"/>
        <v>14.999999999999947</v>
      </c>
      <c r="V7" s="5">
        <f t="shared" si="9"/>
        <v>437.34810095430305</v>
      </c>
      <c r="W7" s="22"/>
      <c r="X7" s="22"/>
      <c r="Y7" s="1">
        <v>43923</v>
      </c>
      <c r="Z7" s="2">
        <v>0.65625</v>
      </c>
      <c r="AA7" s="22">
        <v>0</v>
      </c>
      <c r="AB7" s="22">
        <v>1.46</v>
      </c>
      <c r="AC7" s="22">
        <v>15.555</v>
      </c>
      <c r="AD7" s="3">
        <f t="shared" si="4"/>
        <v>0.48851600000000001</v>
      </c>
      <c r="AE7" s="4">
        <f t="shared" si="5"/>
        <v>105.70871592881376</v>
      </c>
      <c r="AF7" s="22" t="s">
        <v>639</v>
      </c>
      <c r="AG7" s="22">
        <f t="shared" si="10"/>
        <v>14.999999999999947</v>
      </c>
      <c r="AH7" s="5">
        <f t="shared" si="11"/>
        <v>1585.6307389322008</v>
      </c>
      <c r="AI7" s="22"/>
    </row>
    <row r="8" spans="1:35">
      <c r="A8" s="1">
        <v>43923</v>
      </c>
      <c r="B8" s="2">
        <v>0.66666666666666663</v>
      </c>
      <c r="C8" s="22">
        <v>0</v>
      </c>
      <c r="D8" s="22">
        <v>0.997</v>
      </c>
      <c r="E8" s="22">
        <v>15.497999999999999</v>
      </c>
      <c r="F8" s="3">
        <f t="shared" si="0"/>
        <v>0.33359620000000001</v>
      </c>
      <c r="G8" s="3">
        <f t="shared" si="1"/>
        <v>40.951517373064348</v>
      </c>
      <c r="H8" s="22" t="s">
        <v>637</v>
      </c>
      <c r="I8" s="22">
        <f t="shared" si="6"/>
        <v>15.000000000000107</v>
      </c>
      <c r="J8" s="5">
        <f t="shared" si="7"/>
        <v>614.27276059596954</v>
      </c>
      <c r="K8" s="22"/>
      <c r="L8" s="22"/>
      <c r="M8" s="1">
        <v>43923</v>
      </c>
      <c r="N8" s="2">
        <v>0.66666666666666663</v>
      </c>
      <c r="O8" s="22">
        <v>0</v>
      </c>
      <c r="P8" s="22">
        <v>0.85199999999999998</v>
      </c>
      <c r="Q8" s="22">
        <v>15.497</v>
      </c>
      <c r="R8" s="3">
        <f t="shared" si="2"/>
        <v>0.28507919999999998</v>
      </c>
      <c r="S8" s="3">
        <f t="shared" si="3"/>
        <v>27.300502718487028</v>
      </c>
      <c r="T8" s="22" t="s">
        <v>638</v>
      </c>
      <c r="U8" s="22">
        <f t="shared" si="8"/>
        <v>15.000000000000107</v>
      </c>
      <c r="V8" s="5">
        <f t="shared" si="9"/>
        <v>409.50754077730835</v>
      </c>
      <c r="W8" s="22"/>
      <c r="X8" s="22"/>
      <c r="Y8" s="1">
        <v>43923</v>
      </c>
      <c r="Z8" s="2">
        <v>0.66666666666666663</v>
      </c>
      <c r="AA8" s="22">
        <v>0</v>
      </c>
      <c r="AB8" s="22">
        <v>1.4430000000000001</v>
      </c>
      <c r="AC8" s="22">
        <v>15.564</v>
      </c>
      <c r="AD8" s="3">
        <f t="shared" si="4"/>
        <v>0.48282780000000003</v>
      </c>
      <c r="AE8" s="4">
        <f t="shared" si="5"/>
        <v>102.50221196613516</v>
      </c>
      <c r="AF8" s="22" t="s">
        <v>639</v>
      </c>
      <c r="AG8" s="22">
        <f t="shared" si="10"/>
        <v>15.000000000000107</v>
      </c>
      <c r="AH8" s="5">
        <f t="shared" si="11"/>
        <v>1537.5331794920385</v>
      </c>
      <c r="AI8" s="22"/>
    </row>
    <row r="9" spans="1:35">
      <c r="A9" s="1">
        <v>43923</v>
      </c>
      <c r="B9" s="2">
        <v>0.67708333333333337</v>
      </c>
      <c r="C9" s="22">
        <v>0</v>
      </c>
      <c r="D9" s="22">
        <v>0.97399999999999998</v>
      </c>
      <c r="E9" s="22">
        <v>15.477</v>
      </c>
      <c r="F9" s="3">
        <f t="shared" si="0"/>
        <v>0.32590039999999998</v>
      </c>
      <c r="G9" s="3">
        <f t="shared" si="1"/>
        <v>38.558363974539233</v>
      </c>
      <c r="H9" s="22" t="s">
        <v>637</v>
      </c>
      <c r="I9" s="22">
        <f t="shared" si="6"/>
        <v>14.999999999999947</v>
      </c>
      <c r="J9" s="5">
        <f t="shared" si="7"/>
        <v>578.37545961808644</v>
      </c>
      <c r="K9" s="22"/>
      <c r="L9" s="22"/>
      <c r="M9" s="1">
        <v>43923</v>
      </c>
      <c r="N9" s="2">
        <v>0.67708333333333337</v>
      </c>
      <c r="O9" s="22">
        <v>0</v>
      </c>
      <c r="P9" s="22">
        <v>0.83099999999999996</v>
      </c>
      <c r="Q9" s="22">
        <v>15.394</v>
      </c>
      <c r="R9" s="3">
        <f t="shared" si="2"/>
        <v>0.27805259999999998</v>
      </c>
      <c r="S9" s="3">
        <f t="shared" si="3"/>
        <v>25.598064627141856</v>
      </c>
      <c r="T9" s="22" t="s">
        <v>638</v>
      </c>
      <c r="U9" s="22">
        <f t="shared" si="8"/>
        <v>14.999999999999947</v>
      </c>
      <c r="V9" s="5">
        <f t="shared" si="9"/>
        <v>383.97096940712646</v>
      </c>
      <c r="W9" s="22"/>
      <c r="X9" s="22"/>
      <c r="Y9" s="1">
        <v>43923</v>
      </c>
      <c r="Z9" s="2">
        <v>0.67708333333333337</v>
      </c>
      <c r="AA9" s="22">
        <v>0</v>
      </c>
      <c r="AB9" s="22">
        <v>1.4179999999999999</v>
      </c>
      <c r="AC9" s="22">
        <v>15.566000000000001</v>
      </c>
      <c r="AD9" s="3">
        <f t="shared" si="4"/>
        <v>0.47446279999999996</v>
      </c>
      <c r="AE9" s="4">
        <f t="shared" si="5"/>
        <v>97.897426149187098</v>
      </c>
      <c r="AF9" s="22" t="s">
        <v>639</v>
      </c>
      <c r="AG9" s="22">
        <f t="shared" si="10"/>
        <v>14.999999999999947</v>
      </c>
      <c r="AH9" s="5">
        <f t="shared" si="11"/>
        <v>1468.4613922378012</v>
      </c>
      <c r="AI9" s="22"/>
    </row>
    <row r="10" spans="1:35">
      <c r="A10" s="1">
        <v>43923</v>
      </c>
      <c r="B10" s="2">
        <v>0.6875</v>
      </c>
      <c r="C10" s="22">
        <v>0</v>
      </c>
      <c r="D10" s="22">
        <v>0.98</v>
      </c>
      <c r="E10" s="22">
        <v>15.44</v>
      </c>
      <c r="F10" s="3">
        <f t="shared" si="0"/>
        <v>0.32790799999999998</v>
      </c>
      <c r="G10" s="3">
        <f t="shared" si="1"/>
        <v>39.174166523562739</v>
      </c>
      <c r="H10" s="22" t="s">
        <v>637</v>
      </c>
      <c r="I10" s="22">
        <f t="shared" si="6"/>
        <v>14.999999999999947</v>
      </c>
      <c r="J10" s="5">
        <f t="shared" si="7"/>
        <v>587.61249785343898</v>
      </c>
      <c r="K10" s="22"/>
      <c r="L10" s="22"/>
      <c r="M10" s="1">
        <v>43923</v>
      </c>
      <c r="N10" s="2">
        <v>0.6875</v>
      </c>
      <c r="O10" s="22">
        <v>0</v>
      </c>
      <c r="P10" s="22">
        <v>0.83499999999999996</v>
      </c>
      <c r="Q10" s="22">
        <v>15.308</v>
      </c>
      <c r="R10" s="3">
        <f t="shared" si="2"/>
        <v>0.279391</v>
      </c>
      <c r="S10" s="3">
        <f t="shared" si="3"/>
        <v>25.917171142662788</v>
      </c>
      <c r="T10" s="22" t="s">
        <v>638</v>
      </c>
      <c r="U10" s="22">
        <f t="shared" si="8"/>
        <v>14.999999999999947</v>
      </c>
      <c r="V10" s="5">
        <f t="shared" si="9"/>
        <v>388.75756713994042</v>
      </c>
      <c r="W10" s="22"/>
      <c r="X10" s="22"/>
      <c r="Y10" s="1">
        <v>43923</v>
      </c>
      <c r="Z10" s="2">
        <v>0.6875</v>
      </c>
      <c r="AA10" s="22">
        <v>0</v>
      </c>
      <c r="AB10" s="22">
        <v>1.423</v>
      </c>
      <c r="AC10" s="22">
        <v>15.558</v>
      </c>
      <c r="AD10" s="3">
        <f t="shared" si="4"/>
        <v>0.47613580000000005</v>
      </c>
      <c r="AE10" s="4">
        <f t="shared" si="5"/>
        <v>98.807901070352557</v>
      </c>
      <c r="AF10" s="22" t="s">
        <v>639</v>
      </c>
      <c r="AG10" s="22">
        <f t="shared" si="10"/>
        <v>14.999999999999947</v>
      </c>
      <c r="AH10" s="5">
        <f t="shared" si="11"/>
        <v>1482.1185160552832</v>
      </c>
      <c r="AI10" s="22"/>
    </row>
    <row r="11" spans="1:35">
      <c r="A11" s="1">
        <v>43923</v>
      </c>
      <c r="B11" s="2">
        <v>0.69791666666666663</v>
      </c>
      <c r="C11" s="22">
        <v>0</v>
      </c>
      <c r="D11" s="22">
        <v>0.98099999999999998</v>
      </c>
      <c r="E11" s="22">
        <v>15.439</v>
      </c>
      <c r="F11" s="3">
        <f t="shared" si="0"/>
        <v>0.3282426</v>
      </c>
      <c r="G11" s="3">
        <f t="shared" si="1"/>
        <v>39.277381666393218</v>
      </c>
      <c r="H11" s="22" t="s">
        <v>637</v>
      </c>
      <c r="I11" s="22">
        <f t="shared" si="6"/>
        <v>15.000000000000107</v>
      </c>
      <c r="J11" s="5">
        <f t="shared" si="7"/>
        <v>589.16072499590246</v>
      </c>
      <c r="K11" s="22"/>
      <c r="L11" s="22"/>
      <c r="M11" s="1">
        <v>43923</v>
      </c>
      <c r="N11" s="2">
        <v>0.69791666666666663</v>
      </c>
      <c r="O11" s="22">
        <v>0</v>
      </c>
      <c r="P11" s="22">
        <v>0.83099999999999996</v>
      </c>
      <c r="Q11" s="22">
        <v>15.228</v>
      </c>
      <c r="R11" s="3">
        <f t="shared" si="2"/>
        <v>0.27805259999999998</v>
      </c>
      <c r="S11" s="3">
        <f t="shared" si="3"/>
        <v>25.598064627141856</v>
      </c>
      <c r="T11" s="22" t="s">
        <v>638</v>
      </c>
      <c r="U11" s="22">
        <f t="shared" si="8"/>
        <v>15.000000000000107</v>
      </c>
      <c r="V11" s="5">
        <f t="shared" si="9"/>
        <v>383.97096940713055</v>
      </c>
      <c r="W11" s="22"/>
      <c r="X11" s="22"/>
      <c r="Y11" s="1">
        <v>43923</v>
      </c>
      <c r="Z11" s="2">
        <v>0.69791666666666663</v>
      </c>
      <c r="AA11" s="22">
        <v>0</v>
      </c>
      <c r="AB11" s="22">
        <v>1.4330000000000001</v>
      </c>
      <c r="AC11" s="22">
        <v>15.551</v>
      </c>
      <c r="AD11" s="3">
        <f t="shared" si="4"/>
        <v>0.47948180000000001</v>
      </c>
      <c r="AE11" s="4">
        <f t="shared" si="5"/>
        <v>100.64455116081959</v>
      </c>
      <c r="AF11" s="22" t="s">
        <v>639</v>
      </c>
      <c r="AG11" s="22">
        <f t="shared" si="10"/>
        <v>15.000000000000107</v>
      </c>
      <c r="AH11" s="5">
        <f t="shared" si="11"/>
        <v>1509.6682674123047</v>
      </c>
      <c r="AI11" s="22"/>
    </row>
    <row r="12" spans="1:35">
      <c r="A12" s="1">
        <v>43923</v>
      </c>
      <c r="B12" s="2">
        <v>0.70833333333333337</v>
      </c>
      <c r="C12" s="22">
        <v>0</v>
      </c>
      <c r="D12" s="22">
        <v>0.97699999999999998</v>
      </c>
      <c r="E12" s="22">
        <v>15.44</v>
      </c>
      <c r="F12" s="3">
        <f t="shared" si="0"/>
        <v>0.32690419999999998</v>
      </c>
      <c r="G12" s="3">
        <f t="shared" si="1"/>
        <v>38.865518345437835</v>
      </c>
      <c r="H12" s="22" t="s">
        <v>637</v>
      </c>
      <c r="I12" s="22">
        <f t="shared" si="6"/>
        <v>14.999999999999947</v>
      </c>
      <c r="J12" s="5">
        <f t="shared" si="7"/>
        <v>582.98277518156544</v>
      </c>
      <c r="K12" s="22"/>
      <c r="L12" s="22"/>
      <c r="M12" s="1">
        <v>43923</v>
      </c>
      <c r="N12" s="2">
        <v>0.70833333333333337</v>
      </c>
      <c r="O12" s="22">
        <v>0</v>
      </c>
      <c r="P12" s="22">
        <v>0.83699999999999997</v>
      </c>
      <c r="Q12" s="22">
        <v>15.17</v>
      </c>
      <c r="R12" s="3">
        <f t="shared" si="2"/>
        <v>0.28006019999999998</v>
      </c>
      <c r="S12" s="3">
        <f t="shared" si="3"/>
        <v>26.077633144053923</v>
      </c>
      <c r="T12" s="22" t="s">
        <v>638</v>
      </c>
      <c r="U12" s="22">
        <f t="shared" si="8"/>
        <v>14.999999999999947</v>
      </c>
      <c r="V12" s="5">
        <f t="shared" si="9"/>
        <v>391.16449716080746</v>
      </c>
      <c r="W12" s="22"/>
      <c r="X12" s="22"/>
      <c r="Y12" s="1">
        <v>43923</v>
      </c>
      <c r="Z12" s="2">
        <v>0.70833333333333337</v>
      </c>
      <c r="AA12" s="22">
        <v>0</v>
      </c>
      <c r="AB12" s="22">
        <v>1.4390000000000001</v>
      </c>
      <c r="AC12" s="22">
        <v>15.544</v>
      </c>
      <c r="AD12" s="3">
        <f t="shared" si="4"/>
        <v>0.48148940000000001</v>
      </c>
      <c r="AE12" s="4">
        <f t="shared" si="5"/>
        <v>101.75662044876343</v>
      </c>
      <c r="AF12" s="22" t="s">
        <v>639</v>
      </c>
      <c r="AG12" s="22">
        <f t="shared" si="10"/>
        <v>14.999999999999947</v>
      </c>
      <c r="AH12" s="5">
        <f t="shared" si="11"/>
        <v>1526.3493067314459</v>
      </c>
      <c r="AI12" s="22"/>
    </row>
    <row r="13" spans="1:35">
      <c r="A13" s="1">
        <v>43923</v>
      </c>
      <c r="B13" s="2">
        <v>0.71875</v>
      </c>
      <c r="C13" s="22">
        <v>0</v>
      </c>
      <c r="D13" s="22">
        <v>0.96599999999999997</v>
      </c>
      <c r="E13" s="22">
        <v>15.356</v>
      </c>
      <c r="F13" s="3">
        <f t="shared" si="0"/>
        <v>0.3232236</v>
      </c>
      <c r="G13" s="3">
        <f t="shared" si="1"/>
        <v>37.746568453404031</v>
      </c>
      <c r="H13" s="22" t="s">
        <v>637</v>
      </c>
      <c r="I13" s="22">
        <f t="shared" si="6"/>
        <v>14.999999999999947</v>
      </c>
      <c r="J13" s="5">
        <f t="shared" si="7"/>
        <v>566.19852680105839</v>
      </c>
      <c r="K13" s="22"/>
      <c r="L13" s="22"/>
      <c r="M13" s="1">
        <v>43923</v>
      </c>
      <c r="N13" s="2">
        <v>0.71875</v>
      </c>
      <c r="O13" s="22">
        <v>0</v>
      </c>
      <c r="P13" s="22">
        <v>0.83499999999999996</v>
      </c>
      <c r="Q13" s="22">
        <v>15.112</v>
      </c>
      <c r="R13" s="3">
        <f t="shared" si="2"/>
        <v>0.279391</v>
      </c>
      <c r="S13" s="3">
        <f t="shared" si="3"/>
        <v>25.917171142662788</v>
      </c>
      <c r="T13" s="22" t="s">
        <v>638</v>
      </c>
      <c r="U13" s="22">
        <f t="shared" si="8"/>
        <v>14.999999999999947</v>
      </c>
      <c r="V13" s="5">
        <f t="shared" si="9"/>
        <v>388.75756713994042</v>
      </c>
      <c r="W13" s="22"/>
      <c r="X13" s="22"/>
      <c r="Y13" s="1">
        <v>43923</v>
      </c>
      <c r="Z13" s="2">
        <v>0.71875</v>
      </c>
      <c r="AA13" s="22">
        <v>0</v>
      </c>
      <c r="AB13" s="22">
        <v>1.4219999999999999</v>
      </c>
      <c r="AC13" s="22">
        <v>15.539</v>
      </c>
      <c r="AD13" s="3">
        <f t="shared" si="4"/>
        <v>0.47580119999999998</v>
      </c>
      <c r="AE13" s="4">
        <f t="shared" si="5"/>
        <v>98.62538809180451</v>
      </c>
      <c r="AF13" s="22" t="s">
        <v>639</v>
      </c>
      <c r="AG13" s="22">
        <f t="shared" si="10"/>
        <v>14.999999999999947</v>
      </c>
      <c r="AH13" s="5">
        <f t="shared" si="11"/>
        <v>1479.3808213770624</v>
      </c>
      <c r="AI13" s="22"/>
    </row>
    <row r="14" spans="1:35">
      <c r="A14" s="1">
        <v>43923</v>
      </c>
      <c r="B14" s="2">
        <v>0.72916666666666663</v>
      </c>
      <c r="C14" s="22">
        <v>0</v>
      </c>
      <c r="D14" s="22">
        <v>0.90500000000000003</v>
      </c>
      <c r="E14" s="22">
        <v>15.262</v>
      </c>
      <c r="F14" s="3">
        <f t="shared" si="0"/>
        <v>0.302813</v>
      </c>
      <c r="G14" s="3">
        <f t="shared" si="1"/>
        <v>31.89993691313386</v>
      </c>
      <c r="H14" s="22" t="s">
        <v>637</v>
      </c>
      <c r="I14" s="22">
        <f t="shared" si="6"/>
        <v>15.000000000000107</v>
      </c>
      <c r="J14" s="5">
        <f t="shared" si="7"/>
        <v>478.49905369701128</v>
      </c>
      <c r="K14" s="22"/>
      <c r="L14" s="22"/>
      <c r="M14" s="1">
        <v>43923</v>
      </c>
      <c r="N14" s="2">
        <v>0.72916666666666663</v>
      </c>
      <c r="O14" s="22">
        <v>0</v>
      </c>
      <c r="P14" s="22">
        <v>0.78200000000000003</v>
      </c>
      <c r="Q14" s="22">
        <v>15.068</v>
      </c>
      <c r="R14" s="3">
        <f t="shared" si="2"/>
        <v>0.26165720000000003</v>
      </c>
      <c r="S14" s="3">
        <f t="shared" si="3"/>
        <v>21.883153801551693</v>
      </c>
      <c r="T14" s="22" t="s">
        <v>638</v>
      </c>
      <c r="U14" s="22">
        <f t="shared" si="8"/>
        <v>15.000000000000107</v>
      </c>
      <c r="V14" s="5">
        <f t="shared" si="9"/>
        <v>328.2473070232777</v>
      </c>
      <c r="W14" s="22"/>
      <c r="X14" s="22"/>
      <c r="Y14" s="1">
        <v>43923</v>
      </c>
      <c r="Z14" s="2">
        <v>0.72916666666666663</v>
      </c>
      <c r="AA14" s="22">
        <v>0</v>
      </c>
      <c r="AB14" s="22">
        <v>1.38</v>
      </c>
      <c r="AC14" s="22">
        <v>15.532999999999999</v>
      </c>
      <c r="AD14" s="3">
        <f t="shared" si="4"/>
        <v>0.46174799999999999</v>
      </c>
      <c r="AE14" s="4">
        <f t="shared" si="5"/>
        <v>91.147504742824808</v>
      </c>
      <c r="AF14" s="22" t="s">
        <v>639</v>
      </c>
      <c r="AG14" s="22">
        <f t="shared" si="10"/>
        <v>15.000000000000107</v>
      </c>
      <c r="AH14" s="5">
        <f t="shared" si="11"/>
        <v>1367.2125711423819</v>
      </c>
      <c r="AI14" s="22"/>
    </row>
    <row r="15" spans="1:35">
      <c r="A15" s="1">
        <v>43923</v>
      </c>
      <c r="B15" s="2">
        <v>0.73958333333333337</v>
      </c>
      <c r="C15" s="22">
        <v>0</v>
      </c>
      <c r="D15" s="22">
        <v>0.90400000000000003</v>
      </c>
      <c r="E15" s="22">
        <v>15.179</v>
      </c>
      <c r="F15" s="3">
        <f t="shared" si="0"/>
        <v>0.30247840000000004</v>
      </c>
      <c r="G15" s="3">
        <f t="shared" si="1"/>
        <v>31.8090750247441</v>
      </c>
      <c r="H15" s="22" t="s">
        <v>637</v>
      </c>
      <c r="I15" s="22">
        <f t="shared" si="6"/>
        <v>14.999999999999947</v>
      </c>
      <c r="J15" s="5">
        <f t="shared" si="7"/>
        <v>477.13612537115978</v>
      </c>
      <c r="K15" s="22"/>
      <c r="L15" s="22"/>
      <c r="M15" s="1">
        <v>43923</v>
      </c>
      <c r="N15" s="2">
        <v>0.73958333333333337</v>
      </c>
      <c r="O15" s="22">
        <v>0</v>
      </c>
      <c r="P15" s="22">
        <v>0.78500000000000003</v>
      </c>
      <c r="Q15" s="22">
        <v>15.036</v>
      </c>
      <c r="R15" s="3">
        <f t="shared" si="2"/>
        <v>0.26266100000000003</v>
      </c>
      <c r="S15" s="3">
        <f t="shared" si="3"/>
        <v>22.100403566331185</v>
      </c>
      <c r="T15" s="22" t="s">
        <v>638</v>
      </c>
      <c r="U15" s="22">
        <f t="shared" si="8"/>
        <v>14.999999999999947</v>
      </c>
      <c r="V15" s="5">
        <f t="shared" si="9"/>
        <v>331.50605349496658</v>
      </c>
      <c r="W15" s="22"/>
      <c r="X15" s="22"/>
      <c r="Y15" s="1">
        <v>43923</v>
      </c>
      <c r="Z15" s="2">
        <v>0.73958333333333337</v>
      </c>
      <c r="AA15" s="22">
        <v>0</v>
      </c>
      <c r="AB15" s="22">
        <v>1.3819999999999999</v>
      </c>
      <c r="AC15" s="22">
        <v>15.532</v>
      </c>
      <c r="AD15" s="3">
        <f t="shared" si="4"/>
        <v>0.46241719999999997</v>
      </c>
      <c r="AE15" s="4">
        <f t="shared" si="5"/>
        <v>91.495332523602656</v>
      </c>
      <c r="AF15" s="22" t="s">
        <v>639</v>
      </c>
      <c r="AG15" s="22">
        <f t="shared" si="10"/>
        <v>14.999999999999947</v>
      </c>
      <c r="AH15" s="5">
        <f t="shared" si="11"/>
        <v>1372.4299878540351</v>
      </c>
      <c r="AI15" s="22"/>
    </row>
    <row r="16" spans="1:35">
      <c r="A16" s="1">
        <v>43923</v>
      </c>
      <c r="B16" s="2">
        <v>0.75</v>
      </c>
      <c r="C16" s="22">
        <v>0</v>
      </c>
      <c r="D16" s="22">
        <v>0.90300000000000002</v>
      </c>
      <c r="E16" s="22">
        <v>15.103999999999999</v>
      </c>
      <c r="F16" s="3">
        <f t="shared" si="0"/>
        <v>0.30214380000000002</v>
      </c>
      <c r="G16" s="3">
        <f t="shared" si="1"/>
        <v>31.718371804944049</v>
      </c>
      <c r="H16" s="22" t="s">
        <v>637</v>
      </c>
      <c r="I16" s="22">
        <f t="shared" si="6"/>
        <v>14.999999999999947</v>
      </c>
      <c r="J16" s="5">
        <f t="shared" si="7"/>
        <v>475.77557707415906</v>
      </c>
      <c r="K16" s="22"/>
      <c r="L16" s="22"/>
      <c r="M16" s="1">
        <v>43923</v>
      </c>
      <c r="N16" s="2">
        <v>0.75</v>
      </c>
      <c r="O16" s="22">
        <v>0</v>
      </c>
      <c r="P16" s="22">
        <v>0.78600000000000003</v>
      </c>
      <c r="Q16" s="22">
        <v>15.003</v>
      </c>
      <c r="R16" s="3">
        <f t="shared" si="2"/>
        <v>0.2629956</v>
      </c>
      <c r="S16" s="3">
        <f t="shared" si="3"/>
        <v>22.173112403976276</v>
      </c>
      <c r="T16" s="22" t="s">
        <v>638</v>
      </c>
      <c r="U16" s="22">
        <f t="shared" si="8"/>
        <v>14.999999999999947</v>
      </c>
      <c r="V16" s="5">
        <f t="shared" si="9"/>
        <v>332.59668605964293</v>
      </c>
      <c r="W16" s="22"/>
      <c r="X16" s="22"/>
      <c r="Y16" s="1">
        <v>43923</v>
      </c>
      <c r="Z16" s="2">
        <v>0.75</v>
      </c>
      <c r="AA16" s="22">
        <v>0</v>
      </c>
      <c r="AB16" s="22">
        <v>1.381</v>
      </c>
      <c r="AC16" s="22">
        <v>15.532999999999999</v>
      </c>
      <c r="AD16" s="3">
        <f t="shared" si="4"/>
        <v>0.46208260000000001</v>
      </c>
      <c r="AE16" s="4">
        <f t="shared" si="5"/>
        <v>91.321315997582715</v>
      </c>
      <c r="AF16" s="22" t="s">
        <v>639</v>
      </c>
      <c r="AG16" s="22">
        <f t="shared" si="10"/>
        <v>14.999999999999947</v>
      </c>
      <c r="AH16" s="5">
        <f t="shared" si="11"/>
        <v>1369.8197399637359</v>
      </c>
      <c r="AI16" s="22"/>
    </row>
    <row r="17" spans="1:34">
      <c r="A17" s="1">
        <v>43923</v>
      </c>
      <c r="B17" s="2">
        <v>0.76041666666666663</v>
      </c>
      <c r="C17" s="22">
        <v>0</v>
      </c>
      <c r="D17" s="22">
        <v>0.92300000000000004</v>
      </c>
      <c r="E17" s="22">
        <v>15.026</v>
      </c>
      <c r="F17" s="3">
        <f t="shared" si="0"/>
        <v>0.30883580000000005</v>
      </c>
      <c r="G17" s="3">
        <f t="shared" si="1"/>
        <v>33.562699031135516</v>
      </c>
      <c r="H17" s="22" t="s">
        <v>637</v>
      </c>
      <c r="I17" s="22">
        <f t="shared" si="6"/>
        <v>15.000000000000107</v>
      </c>
      <c r="J17" s="5">
        <f t="shared" si="7"/>
        <v>503.4404854670363</v>
      </c>
      <c r="K17" s="22"/>
      <c r="L17" s="22"/>
      <c r="M17" s="1">
        <v>43923</v>
      </c>
      <c r="N17" s="2">
        <v>0.76041666666666663</v>
      </c>
      <c r="O17" s="22">
        <v>0</v>
      </c>
      <c r="P17" s="22">
        <v>0.79700000000000004</v>
      </c>
      <c r="Q17" s="22">
        <v>14.965</v>
      </c>
      <c r="R17" s="3">
        <f t="shared" si="2"/>
        <v>0.26667620000000003</v>
      </c>
      <c r="S17" s="3">
        <f t="shared" si="3"/>
        <v>22.982589446255567</v>
      </c>
      <c r="T17" s="22" t="s">
        <v>638</v>
      </c>
      <c r="U17" s="22">
        <f t="shared" si="8"/>
        <v>15.000000000000107</v>
      </c>
      <c r="V17" s="5">
        <f t="shared" si="9"/>
        <v>344.73884169383592</v>
      </c>
      <c r="W17" s="22"/>
      <c r="X17" s="22"/>
      <c r="Y17" s="1">
        <v>43923</v>
      </c>
      <c r="Z17" s="2">
        <v>0.76041666666666663</v>
      </c>
      <c r="AA17" s="22">
        <v>0</v>
      </c>
      <c r="AB17" s="22">
        <v>1.391</v>
      </c>
      <c r="AC17" s="22">
        <v>15.534000000000001</v>
      </c>
      <c r="AD17" s="3">
        <f t="shared" si="4"/>
        <v>0.46542860000000003</v>
      </c>
      <c r="AE17" s="4">
        <f t="shared" si="5"/>
        <v>93.070733905334933</v>
      </c>
      <c r="AF17" s="22" t="s">
        <v>639</v>
      </c>
      <c r="AG17" s="22">
        <f t="shared" si="10"/>
        <v>15.000000000000107</v>
      </c>
      <c r="AH17" s="5">
        <f t="shared" si="11"/>
        <v>1396.061008580034</v>
      </c>
    </row>
    <row r="18" spans="1:34">
      <c r="A18" s="1">
        <v>43923</v>
      </c>
      <c r="B18" s="2">
        <v>0.77083333333333337</v>
      </c>
      <c r="C18" s="22">
        <v>0</v>
      </c>
      <c r="D18" s="22">
        <v>0.83699999999999997</v>
      </c>
      <c r="E18" s="22">
        <v>14.96</v>
      </c>
      <c r="F18" s="3">
        <f t="shared" si="0"/>
        <v>0.28006019999999998</v>
      </c>
      <c r="G18" s="3">
        <f t="shared" si="1"/>
        <v>26.077633144053923</v>
      </c>
      <c r="H18" s="22" t="s">
        <v>637</v>
      </c>
      <c r="I18" s="22">
        <f t="shared" si="6"/>
        <v>14.999999999999947</v>
      </c>
      <c r="J18" s="5">
        <f t="shared" si="7"/>
        <v>391.16449716080746</v>
      </c>
      <c r="K18" s="22"/>
      <c r="L18" s="22"/>
      <c r="M18" s="1">
        <v>43923</v>
      </c>
      <c r="N18" s="2">
        <v>0.77083333333333337</v>
      </c>
      <c r="O18" s="22">
        <v>0</v>
      </c>
      <c r="P18" s="22">
        <v>0.73299999999999998</v>
      </c>
      <c r="Q18" s="22">
        <v>14.927</v>
      </c>
      <c r="R18" s="3">
        <f t="shared" si="2"/>
        <v>0.2452618</v>
      </c>
      <c r="S18" s="3">
        <f t="shared" si="3"/>
        <v>18.518454738036237</v>
      </c>
      <c r="T18" s="22" t="s">
        <v>638</v>
      </c>
      <c r="U18" s="22">
        <f t="shared" si="8"/>
        <v>14.999999999999947</v>
      </c>
      <c r="V18" s="5">
        <f t="shared" si="9"/>
        <v>277.77682107054255</v>
      </c>
      <c r="W18" s="22"/>
      <c r="X18" s="22"/>
      <c r="Y18" s="1">
        <v>43923</v>
      </c>
      <c r="Z18" s="2">
        <v>0.77083333333333337</v>
      </c>
      <c r="AA18" s="22">
        <v>0</v>
      </c>
      <c r="AB18" s="22">
        <v>1.3280000000000001</v>
      </c>
      <c r="AC18" s="22">
        <v>15.529</v>
      </c>
      <c r="AD18" s="3">
        <f t="shared" si="4"/>
        <v>0.44434880000000004</v>
      </c>
      <c r="AE18" s="4">
        <f t="shared" si="5"/>
        <v>82.389852241571091</v>
      </c>
      <c r="AF18" s="22" t="s">
        <v>639</v>
      </c>
      <c r="AG18" s="22">
        <f t="shared" si="10"/>
        <v>14.999999999999947</v>
      </c>
      <c r="AH18" s="5">
        <f t="shared" si="11"/>
        <v>1235.847783623562</v>
      </c>
    </row>
    <row r="19" spans="1:34">
      <c r="A19" s="1">
        <v>43923</v>
      </c>
      <c r="B19" s="2">
        <v>0.78125</v>
      </c>
      <c r="C19" s="22">
        <v>0</v>
      </c>
      <c r="D19" s="22">
        <v>0.85299999999999998</v>
      </c>
      <c r="E19" s="22">
        <v>14.89</v>
      </c>
      <c r="F19" s="3">
        <f t="shared" si="0"/>
        <v>0.2854138</v>
      </c>
      <c r="G19" s="3">
        <f t="shared" si="1"/>
        <v>27.383249926885526</v>
      </c>
      <c r="H19" s="22" t="s">
        <v>637</v>
      </c>
      <c r="I19" s="22">
        <f t="shared" si="6"/>
        <v>14.999999999999947</v>
      </c>
      <c r="J19" s="5">
        <f t="shared" si="7"/>
        <v>410.74874890328141</v>
      </c>
      <c r="K19" s="22"/>
      <c r="L19" s="22"/>
      <c r="M19" s="1">
        <v>43923</v>
      </c>
      <c r="N19" s="2">
        <v>0.78125</v>
      </c>
      <c r="O19" s="22">
        <v>0</v>
      </c>
      <c r="P19" s="22">
        <v>0.753</v>
      </c>
      <c r="Q19" s="22">
        <v>14.885</v>
      </c>
      <c r="R19" s="3">
        <f t="shared" si="2"/>
        <v>0.25195380000000001</v>
      </c>
      <c r="S19" s="3">
        <f t="shared" si="3"/>
        <v>19.850320738669989</v>
      </c>
      <c r="T19" s="22" t="s">
        <v>638</v>
      </c>
      <c r="U19" s="22">
        <f t="shared" si="8"/>
        <v>14.999999999999947</v>
      </c>
      <c r="V19" s="5">
        <f t="shared" si="9"/>
        <v>297.7548110800488</v>
      </c>
      <c r="W19" s="22"/>
      <c r="X19" s="22"/>
      <c r="Y19" s="1">
        <v>43923</v>
      </c>
      <c r="Z19" s="2">
        <v>0.78125</v>
      </c>
      <c r="AA19" s="22">
        <v>0</v>
      </c>
      <c r="AB19" s="22">
        <v>1.347</v>
      </c>
      <c r="AC19" s="22">
        <v>15.526</v>
      </c>
      <c r="AD19" s="3">
        <f t="shared" si="4"/>
        <v>0.4507062</v>
      </c>
      <c r="AE19" s="4">
        <f t="shared" si="5"/>
        <v>85.526276215567904</v>
      </c>
      <c r="AF19" s="22" t="s">
        <v>639</v>
      </c>
      <c r="AG19" s="22">
        <f t="shared" si="10"/>
        <v>14.999999999999947</v>
      </c>
      <c r="AH19" s="5">
        <f t="shared" si="11"/>
        <v>1282.8941432335141</v>
      </c>
    </row>
    <row r="20" spans="1:34">
      <c r="A20" s="1">
        <v>43923</v>
      </c>
      <c r="B20" s="2">
        <v>0.79166666666666663</v>
      </c>
      <c r="C20" s="22">
        <v>0</v>
      </c>
      <c r="D20" s="22">
        <v>0.874</v>
      </c>
      <c r="E20" s="22">
        <v>14.801</v>
      </c>
      <c r="F20" s="3">
        <f t="shared" si="0"/>
        <v>0.29244039999999999</v>
      </c>
      <c r="G20" s="3">
        <f t="shared" si="1"/>
        <v>29.156540063620309</v>
      </c>
      <c r="H20" s="22" t="s">
        <v>637</v>
      </c>
      <c r="I20" s="22">
        <f t="shared" si="6"/>
        <v>15.000000000000107</v>
      </c>
      <c r="J20" s="5">
        <f t="shared" si="7"/>
        <v>437.34810095430771</v>
      </c>
      <c r="K20" s="22"/>
      <c r="L20" s="22"/>
      <c r="M20" s="1">
        <v>43923</v>
      </c>
      <c r="N20" s="2">
        <v>0.79166666666666663</v>
      </c>
      <c r="O20" s="22">
        <v>0</v>
      </c>
      <c r="P20" s="22">
        <v>0.77500000000000002</v>
      </c>
      <c r="Q20" s="22">
        <v>14.83</v>
      </c>
      <c r="R20" s="3">
        <f t="shared" si="2"/>
        <v>0.25931500000000002</v>
      </c>
      <c r="S20" s="3">
        <f t="shared" si="3"/>
        <v>21.381338163332636</v>
      </c>
      <c r="T20" s="22" t="s">
        <v>638</v>
      </c>
      <c r="U20" s="22">
        <f t="shared" si="8"/>
        <v>15.000000000000107</v>
      </c>
      <c r="V20" s="5">
        <f t="shared" si="9"/>
        <v>320.72007244999179</v>
      </c>
      <c r="W20" s="22"/>
      <c r="X20" s="22"/>
      <c r="Y20" s="1">
        <v>43923</v>
      </c>
      <c r="Z20" s="2">
        <v>0.79166666666666663</v>
      </c>
      <c r="AA20" s="22">
        <v>0</v>
      </c>
      <c r="AB20" s="22">
        <v>1.371</v>
      </c>
      <c r="AC20" s="22">
        <v>15.515000000000001</v>
      </c>
      <c r="AD20" s="3">
        <f t="shared" si="4"/>
        <v>0.45873659999999999</v>
      </c>
      <c r="AE20" s="4">
        <f t="shared" si="5"/>
        <v>89.592425195345314</v>
      </c>
      <c r="AF20" s="22" t="s">
        <v>639</v>
      </c>
      <c r="AG20" s="22">
        <f t="shared" si="10"/>
        <v>15.000000000000107</v>
      </c>
      <c r="AH20" s="5">
        <f t="shared" si="11"/>
        <v>1343.8863779301892</v>
      </c>
    </row>
    <row r="21" spans="1:34">
      <c r="A21" s="1">
        <v>43923</v>
      </c>
      <c r="B21" s="2">
        <v>0.80208333333333337</v>
      </c>
      <c r="C21" s="22">
        <v>0</v>
      </c>
      <c r="D21" s="22">
        <v>0.88600000000000001</v>
      </c>
      <c r="E21" s="22">
        <v>14.715</v>
      </c>
      <c r="F21" s="3">
        <f t="shared" si="0"/>
        <v>0.29645559999999999</v>
      </c>
      <c r="G21" s="3">
        <f t="shared" si="1"/>
        <v>30.200594510325711</v>
      </c>
      <c r="H21" s="22" t="s">
        <v>637</v>
      </c>
      <c r="I21" s="22">
        <f t="shared" si="6"/>
        <v>14.999999999999947</v>
      </c>
      <c r="J21" s="5">
        <f t="shared" si="7"/>
        <v>453.00891765488404</v>
      </c>
      <c r="K21" s="22"/>
      <c r="L21" s="22"/>
      <c r="M21" s="1">
        <v>43923</v>
      </c>
      <c r="N21" s="2">
        <v>0.80208333333333337</v>
      </c>
      <c r="O21" s="22">
        <v>0</v>
      </c>
      <c r="P21" s="22">
        <v>0.79</v>
      </c>
      <c r="Q21" s="22">
        <v>14.766999999999999</v>
      </c>
      <c r="R21" s="3">
        <f t="shared" si="2"/>
        <v>0.26433400000000001</v>
      </c>
      <c r="S21" s="3">
        <f t="shared" si="3"/>
        <v>22.465411880809473</v>
      </c>
      <c r="T21" s="22" t="s">
        <v>638</v>
      </c>
      <c r="U21" s="22">
        <f t="shared" si="8"/>
        <v>14.999999999999947</v>
      </c>
      <c r="V21" s="5">
        <f t="shared" si="9"/>
        <v>336.98117821214089</v>
      </c>
      <c r="W21" s="22"/>
      <c r="X21" s="22"/>
      <c r="Y21" s="1">
        <v>43923</v>
      </c>
      <c r="Z21" s="2">
        <v>0.80208333333333337</v>
      </c>
      <c r="AA21" s="22">
        <v>0</v>
      </c>
      <c r="AB21" s="22">
        <v>1.3839999999999999</v>
      </c>
      <c r="AC21" s="22">
        <v>15.497999999999999</v>
      </c>
      <c r="AD21" s="3">
        <f t="shared" si="4"/>
        <v>0.46308639999999995</v>
      </c>
      <c r="AE21" s="4">
        <f t="shared" si="5"/>
        <v>91.843981763925598</v>
      </c>
      <c r="AF21" s="22" t="s">
        <v>639</v>
      </c>
      <c r="AG21" s="22">
        <f t="shared" si="10"/>
        <v>14.999999999999947</v>
      </c>
      <c r="AH21" s="5">
        <f t="shared" si="11"/>
        <v>1377.659726458879</v>
      </c>
    </row>
    <row r="22" spans="1:34">
      <c r="A22" s="1">
        <v>43923</v>
      </c>
      <c r="B22" s="2">
        <v>0.8125</v>
      </c>
      <c r="C22" s="22">
        <v>0</v>
      </c>
      <c r="D22" s="22">
        <v>0.81399999999999995</v>
      </c>
      <c r="E22" s="22">
        <v>14.62</v>
      </c>
      <c r="F22" s="3">
        <f t="shared" si="0"/>
        <v>0.27236440000000001</v>
      </c>
      <c r="G22" s="3">
        <f t="shared" si="1"/>
        <v>24.268752601295656</v>
      </c>
      <c r="H22" s="22" t="s">
        <v>637</v>
      </c>
      <c r="I22" s="22">
        <f t="shared" si="6"/>
        <v>14.999999999999947</v>
      </c>
      <c r="J22" s="5">
        <f t="shared" si="7"/>
        <v>364.03128901943353</v>
      </c>
      <c r="K22" s="22"/>
      <c r="L22" s="22"/>
      <c r="M22" s="1">
        <v>43923</v>
      </c>
      <c r="N22" s="2">
        <v>0.8125</v>
      </c>
      <c r="O22" s="22">
        <v>0</v>
      </c>
      <c r="P22" s="22">
        <v>0.68500000000000005</v>
      </c>
      <c r="Q22" s="22">
        <v>14.691000000000001</v>
      </c>
      <c r="R22" s="3">
        <f t="shared" si="2"/>
        <v>0.22920100000000002</v>
      </c>
      <c r="S22" s="3">
        <f t="shared" si="3"/>
        <v>15.549562141328433</v>
      </c>
      <c r="T22" s="22" t="s">
        <v>638</v>
      </c>
      <c r="U22" s="22">
        <f t="shared" si="8"/>
        <v>14.999999999999947</v>
      </c>
      <c r="V22" s="5">
        <f t="shared" si="9"/>
        <v>233.24343211992567</v>
      </c>
      <c r="W22" s="22"/>
      <c r="X22" s="22"/>
      <c r="Y22" s="1">
        <v>43923</v>
      </c>
      <c r="Z22" s="2">
        <v>0.8125</v>
      </c>
      <c r="AA22" s="22">
        <v>0</v>
      </c>
      <c r="AB22" s="22">
        <v>1.2749999999999999</v>
      </c>
      <c r="AC22" s="22">
        <v>15.472</v>
      </c>
      <c r="AD22" s="3">
        <f t="shared" si="4"/>
        <v>0.42661499999999997</v>
      </c>
      <c r="AE22" s="4">
        <f t="shared" si="5"/>
        <v>74.020936021245234</v>
      </c>
      <c r="AF22" s="22" t="s">
        <v>639</v>
      </c>
      <c r="AG22" s="22">
        <f t="shared" si="10"/>
        <v>14.999999999999947</v>
      </c>
      <c r="AH22" s="5">
        <f t="shared" si="11"/>
        <v>1110.3140403186746</v>
      </c>
    </row>
    <row r="23" spans="1:34">
      <c r="A23" s="1">
        <v>43923</v>
      </c>
      <c r="B23" s="2">
        <v>0.82291666666666663</v>
      </c>
      <c r="C23" s="22">
        <v>0</v>
      </c>
      <c r="D23" s="22">
        <v>0.82099999999999995</v>
      </c>
      <c r="E23" s="22">
        <v>14.507</v>
      </c>
      <c r="F23" s="3">
        <f t="shared" si="0"/>
        <v>0.27470659999999997</v>
      </c>
      <c r="G23" s="3">
        <f t="shared" si="1"/>
        <v>24.810860973590213</v>
      </c>
      <c r="H23" s="22" t="s">
        <v>637</v>
      </c>
      <c r="I23" s="22">
        <f t="shared" si="6"/>
        <v>15.000000000000107</v>
      </c>
      <c r="J23" s="5">
        <f t="shared" si="7"/>
        <v>372.16291460385582</v>
      </c>
      <c r="K23" s="22"/>
      <c r="L23" s="22"/>
      <c r="M23" s="1">
        <v>43923</v>
      </c>
      <c r="N23" s="2">
        <v>0.82291666666666663</v>
      </c>
      <c r="O23" s="22">
        <v>0</v>
      </c>
      <c r="P23" s="22">
        <v>0.69099999999999995</v>
      </c>
      <c r="Q23" s="22">
        <v>14.606</v>
      </c>
      <c r="R23" s="3">
        <f t="shared" si="2"/>
        <v>0.23120859999999999</v>
      </c>
      <c r="S23" s="3">
        <f t="shared" si="3"/>
        <v>15.903395226984891</v>
      </c>
      <c r="T23" s="22" t="s">
        <v>638</v>
      </c>
      <c r="U23" s="22">
        <f t="shared" si="8"/>
        <v>15.000000000000107</v>
      </c>
      <c r="V23" s="5">
        <f t="shared" si="9"/>
        <v>238.55092840477505</v>
      </c>
      <c r="W23" s="22"/>
      <c r="X23" s="22"/>
      <c r="Y23" s="1">
        <v>43923</v>
      </c>
      <c r="Z23" s="2">
        <v>0.82291666666666663</v>
      </c>
      <c r="AA23" s="22">
        <v>0</v>
      </c>
      <c r="AB23" s="22">
        <v>1.2869999999999999</v>
      </c>
      <c r="AC23" s="22">
        <v>15.407999999999999</v>
      </c>
      <c r="AD23" s="3">
        <f t="shared" si="4"/>
        <v>0.43063019999999996</v>
      </c>
      <c r="AE23" s="4">
        <f t="shared" si="5"/>
        <v>75.867253977197521</v>
      </c>
      <c r="AF23" s="22" t="s">
        <v>639</v>
      </c>
      <c r="AG23" s="22">
        <f t="shared" si="10"/>
        <v>15.000000000000107</v>
      </c>
      <c r="AH23" s="5">
        <f t="shared" si="11"/>
        <v>1138.0088096579709</v>
      </c>
    </row>
    <row r="24" spans="1:34">
      <c r="A24" s="1">
        <v>43923</v>
      </c>
      <c r="B24" s="2">
        <v>0.83333333333333337</v>
      </c>
      <c r="C24" s="22">
        <v>0</v>
      </c>
      <c r="D24" s="22">
        <v>0.83</v>
      </c>
      <c r="E24" s="22">
        <v>14.388</v>
      </c>
      <c r="F24" s="3">
        <f t="shared" si="0"/>
        <v>0.27771800000000002</v>
      </c>
      <c r="G24" s="3">
        <f t="shared" si="1"/>
        <v>25.518666026925722</v>
      </c>
      <c r="H24" s="22" t="s">
        <v>637</v>
      </c>
      <c r="I24" s="22">
        <f t="shared" si="6"/>
        <v>14.999999999999947</v>
      </c>
      <c r="J24" s="5">
        <f t="shared" si="7"/>
        <v>382.77999040388448</v>
      </c>
      <c r="K24" s="22"/>
      <c r="L24" s="22"/>
      <c r="M24" s="1">
        <v>43923</v>
      </c>
      <c r="N24" s="2">
        <v>0.83333333333333337</v>
      </c>
      <c r="O24" s="22">
        <v>0</v>
      </c>
      <c r="P24" s="22">
        <v>0.70199999999999996</v>
      </c>
      <c r="Q24" s="22">
        <v>14.513</v>
      </c>
      <c r="R24" s="3">
        <f t="shared" si="2"/>
        <v>0.23488919999999999</v>
      </c>
      <c r="S24" s="3">
        <f t="shared" si="3"/>
        <v>16.564801619295555</v>
      </c>
      <c r="T24" s="22" t="s">
        <v>638</v>
      </c>
      <c r="U24" s="22">
        <f t="shared" si="8"/>
        <v>14.999999999999947</v>
      </c>
      <c r="V24" s="5">
        <f t="shared" si="9"/>
        <v>248.47202428943243</v>
      </c>
      <c r="W24" s="22"/>
      <c r="X24" s="22"/>
      <c r="Y24" s="1">
        <v>43923</v>
      </c>
      <c r="Z24" s="2">
        <v>0.83333333333333337</v>
      </c>
      <c r="AA24" s="22">
        <v>0</v>
      </c>
      <c r="AB24" s="22">
        <v>1.3009999999999999</v>
      </c>
      <c r="AC24" s="22">
        <v>15.35</v>
      </c>
      <c r="AD24" s="3">
        <f t="shared" si="4"/>
        <v>0.4353146</v>
      </c>
      <c r="AE24" s="4">
        <f t="shared" si="5"/>
        <v>78.057039682401467</v>
      </c>
      <c r="AF24" s="22" t="s">
        <v>639</v>
      </c>
      <c r="AG24" s="22">
        <f t="shared" si="10"/>
        <v>14.999999999999947</v>
      </c>
      <c r="AH24" s="5">
        <f t="shared" si="11"/>
        <v>1170.8555952360177</v>
      </c>
    </row>
    <row r="25" spans="1:34">
      <c r="A25" s="1">
        <v>43923</v>
      </c>
      <c r="B25" s="2">
        <v>0.84375</v>
      </c>
      <c r="C25" s="22">
        <v>0</v>
      </c>
      <c r="D25" s="22">
        <v>0.84499999999999997</v>
      </c>
      <c r="E25" s="22">
        <v>14.266</v>
      </c>
      <c r="F25" s="3">
        <f t="shared" si="0"/>
        <v>0.28273700000000002</v>
      </c>
      <c r="G25" s="3">
        <f t="shared" si="1"/>
        <v>26.725559067959306</v>
      </c>
      <c r="H25" s="22" t="s">
        <v>637</v>
      </c>
      <c r="I25" s="22">
        <f t="shared" si="6"/>
        <v>14.999999999999947</v>
      </c>
      <c r="J25" s="5">
        <f t="shared" si="7"/>
        <v>400.88338601938818</v>
      </c>
      <c r="K25" s="22"/>
      <c r="L25" s="22"/>
      <c r="M25" s="1">
        <v>43923</v>
      </c>
      <c r="N25" s="2">
        <v>0.84375</v>
      </c>
      <c r="O25" s="22">
        <v>0</v>
      </c>
      <c r="P25" s="22">
        <v>0.71699999999999997</v>
      </c>
      <c r="Q25" s="22">
        <v>14.417999999999999</v>
      </c>
      <c r="R25" s="3">
        <f t="shared" si="2"/>
        <v>0.23990819999999999</v>
      </c>
      <c r="S25" s="3">
        <f t="shared" si="3"/>
        <v>17.493467860691169</v>
      </c>
      <c r="T25" s="22" t="s">
        <v>638</v>
      </c>
      <c r="U25" s="22">
        <f t="shared" si="8"/>
        <v>14.999999999999947</v>
      </c>
      <c r="V25" s="5">
        <f t="shared" si="9"/>
        <v>262.40201791036662</v>
      </c>
      <c r="W25" s="22"/>
      <c r="X25" s="22"/>
      <c r="Y25" s="1">
        <v>43923</v>
      </c>
      <c r="Z25" s="2">
        <v>0.84375</v>
      </c>
      <c r="AA25" s="22">
        <v>0</v>
      </c>
      <c r="AB25" s="22">
        <v>1.306</v>
      </c>
      <c r="AC25" s="22">
        <v>15.29</v>
      </c>
      <c r="AD25" s="3">
        <f t="shared" si="4"/>
        <v>0.43698760000000003</v>
      </c>
      <c r="AE25" s="4">
        <f t="shared" si="5"/>
        <v>78.848482971216754</v>
      </c>
      <c r="AF25" s="22" t="s">
        <v>639</v>
      </c>
      <c r="AG25" s="22">
        <f t="shared" si="10"/>
        <v>14.999999999999947</v>
      </c>
      <c r="AH25" s="5">
        <f t="shared" si="11"/>
        <v>1182.7272445682472</v>
      </c>
    </row>
    <row r="26" spans="1:34">
      <c r="A26" s="1">
        <v>43923</v>
      </c>
      <c r="B26" s="2">
        <v>0.85416666666666663</v>
      </c>
      <c r="C26" s="22">
        <v>0</v>
      </c>
      <c r="D26" s="22">
        <v>0.83399999999999996</v>
      </c>
      <c r="E26" s="22">
        <v>14.141999999999999</v>
      </c>
      <c r="F26" s="3">
        <f t="shared" si="0"/>
        <v>0.27905639999999998</v>
      </c>
      <c r="G26" s="3">
        <f t="shared" si="1"/>
        <v>25.837167485813488</v>
      </c>
      <c r="H26" s="22" t="s">
        <v>637</v>
      </c>
      <c r="I26" s="22">
        <f t="shared" si="6"/>
        <v>15.000000000000107</v>
      </c>
      <c r="J26" s="5">
        <f t="shared" si="7"/>
        <v>387.5575122872051</v>
      </c>
      <c r="K26" s="22"/>
      <c r="L26" s="22"/>
      <c r="M26" s="1">
        <v>43923</v>
      </c>
      <c r="N26" s="2">
        <v>0.85416666666666663</v>
      </c>
      <c r="O26" s="22">
        <v>0</v>
      </c>
      <c r="P26" s="22">
        <v>0.70399999999999996</v>
      </c>
      <c r="Q26" s="22">
        <v>14.321</v>
      </c>
      <c r="R26" s="3">
        <f t="shared" si="2"/>
        <v>0.2355584</v>
      </c>
      <c r="S26" s="3">
        <f t="shared" si="3"/>
        <v>16.686834184129165</v>
      </c>
      <c r="T26" s="22" t="s">
        <v>638</v>
      </c>
      <c r="U26" s="22">
        <f t="shared" si="8"/>
        <v>15.000000000000107</v>
      </c>
      <c r="V26" s="5">
        <f t="shared" si="9"/>
        <v>250.30251276193925</v>
      </c>
      <c r="W26" s="22"/>
      <c r="X26" s="22"/>
      <c r="Y26" s="1">
        <v>43923</v>
      </c>
      <c r="Z26" s="2">
        <v>0.85416666666666663</v>
      </c>
      <c r="AA26" s="22">
        <v>0</v>
      </c>
      <c r="AB26" s="22">
        <v>1.3109999999999999</v>
      </c>
      <c r="AC26" s="22">
        <v>15.218999999999999</v>
      </c>
      <c r="AD26" s="3">
        <f t="shared" si="4"/>
        <v>0.43866060000000001</v>
      </c>
      <c r="AE26" s="4">
        <f t="shared" si="5"/>
        <v>79.644880650438495</v>
      </c>
      <c r="AF26" s="22" t="s">
        <v>639</v>
      </c>
      <c r="AG26" s="22">
        <f t="shared" si="10"/>
        <v>15.000000000000107</v>
      </c>
      <c r="AH26" s="5">
        <f t="shared" si="11"/>
        <v>1194.6732097565859</v>
      </c>
    </row>
    <row r="27" spans="1:34">
      <c r="A27" s="1">
        <v>43923</v>
      </c>
      <c r="B27" s="2">
        <v>0.86458333333333337</v>
      </c>
      <c r="C27" s="22">
        <v>0</v>
      </c>
      <c r="D27" s="22">
        <v>0.86699999999999999</v>
      </c>
      <c r="E27" s="22">
        <v>14.018000000000001</v>
      </c>
      <c r="F27" s="3">
        <f t="shared" si="0"/>
        <v>0.29009820000000003</v>
      </c>
      <c r="G27" s="3">
        <f t="shared" si="1"/>
        <v>28.55786664827405</v>
      </c>
      <c r="H27" s="22" t="s">
        <v>637</v>
      </c>
      <c r="I27" s="22">
        <f t="shared" si="6"/>
        <v>14.999999999999947</v>
      </c>
      <c r="J27" s="5">
        <f t="shared" si="7"/>
        <v>428.36799972410921</v>
      </c>
      <c r="K27" s="22"/>
      <c r="L27" s="22"/>
      <c r="M27" s="1">
        <v>43923</v>
      </c>
      <c r="N27" s="2">
        <v>0.86458333333333337</v>
      </c>
      <c r="O27" s="22">
        <v>0</v>
      </c>
      <c r="P27" s="22">
        <v>0.73399999999999999</v>
      </c>
      <c r="Q27" s="22">
        <v>14.228999999999999</v>
      </c>
      <c r="R27" s="3">
        <f t="shared" si="2"/>
        <v>0.24559639999999999</v>
      </c>
      <c r="S27" s="3">
        <f t="shared" si="3"/>
        <v>18.583705924570133</v>
      </c>
      <c r="T27" s="22" t="s">
        <v>638</v>
      </c>
      <c r="U27" s="22">
        <f t="shared" si="8"/>
        <v>14.999999999999947</v>
      </c>
      <c r="V27" s="5">
        <f t="shared" si="9"/>
        <v>278.755588868551</v>
      </c>
      <c r="W27" s="22"/>
      <c r="X27" s="22"/>
      <c r="Y27" s="1">
        <v>43923</v>
      </c>
      <c r="Z27" s="2">
        <v>0.86458333333333337</v>
      </c>
      <c r="AA27" s="22">
        <v>0</v>
      </c>
      <c r="AB27" s="22">
        <v>1.337</v>
      </c>
      <c r="AC27" s="22">
        <v>15.141999999999999</v>
      </c>
      <c r="AD27" s="3">
        <f t="shared" si="4"/>
        <v>0.44736019999999999</v>
      </c>
      <c r="AE27" s="4">
        <f t="shared" si="5"/>
        <v>83.866474658152327</v>
      </c>
      <c r="AF27" s="22" t="s">
        <v>639</v>
      </c>
      <c r="AG27" s="22">
        <f t="shared" si="10"/>
        <v>14.999999999999947</v>
      </c>
      <c r="AH27" s="5">
        <f t="shared" si="11"/>
        <v>1257.9971198722803</v>
      </c>
    </row>
    <row r="28" spans="1:34">
      <c r="A28" s="1">
        <v>43923</v>
      </c>
      <c r="B28" s="2">
        <v>0.875</v>
      </c>
      <c r="C28" s="22">
        <v>0</v>
      </c>
      <c r="D28" s="22">
        <v>0.89100000000000001</v>
      </c>
      <c r="E28" s="22">
        <v>13.898</v>
      </c>
      <c r="F28" s="3">
        <f t="shared" si="0"/>
        <v>0.29812860000000002</v>
      </c>
      <c r="G28" s="3">
        <f t="shared" si="1"/>
        <v>30.642272205722278</v>
      </c>
      <c r="H28" s="22" t="s">
        <v>637</v>
      </c>
      <c r="I28" s="22">
        <f t="shared" si="6"/>
        <v>14.999999999999947</v>
      </c>
      <c r="J28" s="5">
        <f t="shared" si="7"/>
        <v>459.63408308583257</v>
      </c>
      <c r="K28" s="22"/>
      <c r="L28" s="22"/>
      <c r="M28" s="1">
        <v>43923</v>
      </c>
      <c r="N28" s="2">
        <v>0.875</v>
      </c>
      <c r="O28" s="22">
        <v>0</v>
      </c>
      <c r="P28" s="22">
        <v>0.76200000000000001</v>
      </c>
      <c r="Q28" s="22">
        <v>14.127000000000001</v>
      </c>
      <c r="R28" s="3">
        <f t="shared" si="2"/>
        <v>0.2549652</v>
      </c>
      <c r="S28" s="3">
        <f t="shared" si="3"/>
        <v>20.468231292306857</v>
      </c>
      <c r="T28" s="22" t="s">
        <v>638</v>
      </c>
      <c r="U28" s="22">
        <f t="shared" si="8"/>
        <v>14.999999999999947</v>
      </c>
      <c r="V28" s="5">
        <f t="shared" si="9"/>
        <v>307.02346938460175</v>
      </c>
      <c r="W28" s="22"/>
      <c r="X28" s="22"/>
      <c r="Y28" s="1">
        <v>43923</v>
      </c>
      <c r="Z28" s="2">
        <v>0.875</v>
      </c>
      <c r="AA28" s="22">
        <v>0</v>
      </c>
      <c r="AB28" s="22">
        <v>1.353</v>
      </c>
      <c r="AC28" s="22">
        <v>15.069000000000001</v>
      </c>
      <c r="AD28" s="3">
        <f t="shared" si="4"/>
        <v>0.4527138</v>
      </c>
      <c r="AE28" s="4">
        <f t="shared" si="5"/>
        <v>86.531850584831346</v>
      </c>
      <c r="AF28" s="22" t="s">
        <v>639</v>
      </c>
      <c r="AG28" s="22">
        <f t="shared" si="10"/>
        <v>14.999999999999947</v>
      </c>
      <c r="AH28" s="5">
        <f t="shared" si="11"/>
        <v>1297.9777587724657</v>
      </c>
    </row>
    <row r="29" spans="1:34">
      <c r="A29" s="1">
        <v>43923</v>
      </c>
      <c r="B29" s="2">
        <v>0.88541666666666663</v>
      </c>
      <c r="C29" s="22">
        <v>0</v>
      </c>
      <c r="D29" s="22">
        <v>0.91200000000000003</v>
      </c>
      <c r="E29" s="22">
        <v>13.776</v>
      </c>
      <c r="F29" s="3">
        <f t="shared" si="0"/>
        <v>0.30515520000000002</v>
      </c>
      <c r="G29" s="3">
        <f t="shared" si="1"/>
        <v>32.54042139570285</v>
      </c>
      <c r="H29" s="22" t="s">
        <v>637</v>
      </c>
      <c r="I29" s="22">
        <f t="shared" si="6"/>
        <v>15.000000000000107</v>
      </c>
      <c r="J29" s="5">
        <f t="shared" si="7"/>
        <v>488.10632093554625</v>
      </c>
      <c r="K29" s="22"/>
      <c r="L29" s="22"/>
      <c r="M29" s="1">
        <v>43923</v>
      </c>
      <c r="N29" s="2">
        <v>0.88541666666666663</v>
      </c>
      <c r="O29" s="22">
        <v>0</v>
      </c>
      <c r="P29" s="22">
        <v>0.78200000000000003</v>
      </c>
      <c r="Q29" s="22">
        <v>14.028</v>
      </c>
      <c r="R29" s="3">
        <f t="shared" si="2"/>
        <v>0.26165720000000003</v>
      </c>
      <c r="S29" s="3">
        <f t="shared" si="3"/>
        <v>21.883153801551693</v>
      </c>
      <c r="T29" s="22" t="s">
        <v>638</v>
      </c>
      <c r="U29" s="22">
        <f t="shared" si="8"/>
        <v>15.000000000000107</v>
      </c>
      <c r="V29" s="5">
        <f t="shared" si="9"/>
        <v>328.2473070232777</v>
      </c>
      <c r="W29" s="22"/>
      <c r="X29" s="22"/>
      <c r="Y29" s="1">
        <v>43923</v>
      </c>
      <c r="Z29" s="2">
        <v>0.88541666666666663</v>
      </c>
      <c r="AA29" s="22">
        <v>0</v>
      </c>
      <c r="AB29" s="22">
        <v>1.3859999999999999</v>
      </c>
      <c r="AC29" s="22">
        <v>14.986000000000001</v>
      </c>
      <c r="AD29" s="3">
        <f t="shared" si="4"/>
        <v>0.46375559999999999</v>
      </c>
      <c r="AE29" s="4">
        <f t="shared" si="5"/>
        <v>92.193453212536227</v>
      </c>
      <c r="AF29" s="22" t="s">
        <v>639</v>
      </c>
      <c r="AG29" s="22">
        <f t="shared" si="10"/>
        <v>15.000000000000107</v>
      </c>
      <c r="AH29" s="5">
        <f t="shared" si="11"/>
        <v>1382.9017981880531</v>
      </c>
    </row>
    <row r="30" spans="1:34">
      <c r="A30" s="1">
        <v>43923</v>
      </c>
      <c r="B30" s="2">
        <v>0.89583333333333337</v>
      </c>
      <c r="C30" s="22">
        <v>0</v>
      </c>
      <c r="D30" s="22">
        <v>0.84099999999999997</v>
      </c>
      <c r="E30" s="22">
        <v>13.663</v>
      </c>
      <c r="F30" s="3">
        <f t="shared" si="0"/>
        <v>0.2813986</v>
      </c>
      <c r="G30" s="3">
        <f t="shared" si="1"/>
        <v>26.400378842091527</v>
      </c>
      <c r="H30" s="22" t="s">
        <v>637</v>
      </c>
      <c r="I30" s="22">
        <f t="shared" si="6"/>
        <v>14.999999999999947</v>
      </c>
      <c r="J30" s="5">
        <f t="shared" si="7"/>
        <v>396.00568263137149</v>
      </c>
      <c r="K30" s="22"/>
      <c r="L30" s="22"/>
      <c r="M30" s="1">
        <v>43923</v>
      </c>
      <c r="N30" s="2">
        <v>0.89583333333333337</v>
      </c>
      <c r="O30" s="22">
        <v>0</v>
      </c>
      <c r="P30" s="22">
        <v>0.71</v>
      </c>
      <c r="Q30" s="22">
        <v>13.936999999999999</v>
      </c>
      <c r="R30" s="3">
        <f t="shared" si="2"/>
        <v>0.237566</v>
      </c>
      <c r="S30" s="3">
        <f t="shared" si="3"/>
        <v>17.056229440665298</v>
      </c>
      <c r="T30" s="22" t="s">
        <v>638</v>
      </c>
      <c r="U30" s="22">
        <f t="shared" si="8"/>
        <v>14.999999999999947</v>
      </c>
      <c r="V30" s="5">
        <f t="shared" si="9"/>
        <v>255.84344160997856</v>
      </c>
      <c r="W30" s="22"/>
      <c r="X30" s="22"/>
      <c r="Y30" s="1">
        <v>43923</v>
      </c>
      <c r="Z30" s="2">
        <v>0.89583333333333337</v>
      </c>
      <c r="AA30" s="22">
        <v>0</v>
      </c>
      <c r="AB30" s="22">
        <v>1.304</v>
      </c>
      <c r="AC30" s="22">
        <v>14.906000000000001</v>
      </c>
      <c r="AD30" s="3">
        <f t="shared" si="4"/>
        <v>0.43631840000000005</v>
      </c>
      <c r="AE30" s="4">
        <f t="shared" si="5"/>
        <v>78.531311798121308</v>
      </c>
      <c r="AF30" s="22" t="s">
        <v>639</v>
      </c>
      <c r="AG30" s="22">
        <f t="shared" si="10"/>
        <v>14.999999999999947</v>
      </c>
      <c r="AH30" s="5">
        <f t="shared" si="11"/>
        <v>1177.9696769718155</v>
      </c>
    </row>
    <row r="31" spans="1:34">
      <c r="A31" s="1">
        <v>43923</v>
      </c>
      <c r="B31" s="2">
        <v>0.90625</v>
      </c>
      <c r="C31" s="22">
        <v>0</v>
      </c>
      <c r="D31" s="22">
        <v>0.85299999999999998</v>
      </c>
      <c r="E31" s="22">
        <v>13.557</v>
      </c>
      <c r="F31" s="3">
        <f t="shared" si="0"/>
        <v>0.2854138</v>
      </c>
      <c r="G31" s="3">
        <f t="shared" si="1"/>
        <v>27.383249926885526</v>
      </c>
      <c r="H31" s="22" t="s">
        <v>637</v>
      </c>
      <c r="I31" s="22">
        <f t="shared" si="6"/>
        <v>14.999999999999947</v>
      </c>
      <c r="J31" s="5">
        <f t="shared" si="7"/>
        <v>410.74874890328141</v>
      </c>
      <c r="K31" s="22"/>
      <c r="L31" s="22"/>
      <c r="M31" s="1">
        <v>43923</v>
      </c>
      <c r="N31" s="2">
        <v>0.90625</v>
      </c>
      <c r="O31" s="22">
        <v>0</v>
      </c>
      <c r="P31" s="22">
        <v>0.72299999999999998</v>
      </c>
      <c r="Q31" s="22">
        <v>13.858000000000001</v>
      </c>
      <c r="R31" s="3">
        <f t="shared" si="2"/>
        <v>0.24191579999999999</v>
      </c>
      <c r="S31" s="3">
        <f t="shared" si="3"/>
        <v>17.873651953867274</v>
      </c>
      <c r="T31" s="22" t="s">
        <v>638</v>
      </c>
      <c r="U31" s="22">
        <f t="shared" si="8"/>
        <v>14.999999999999947</v>
      </c>
      <c r="V31" s="5">
        <f t="shared" si="9"/>
        <v>268.10477930800818</v>
      </c>
      <c r="W31" s="22"/>
      <c r="X31" s="22"/>
      <c r="Y31" s="1">
        <v>43923</v>
      </c>
      <c r="Z31" s="2">
        <v>0.90625</v>
      </c>
      <c r="AA31" s="22">
        <v>0</v>
      </c>
      <c r="AB31" s="22">
        <v>1.321</v>
      </c>
      <c r="AC31" s="22">
        <v>14.82</v>
      </c>
      <c r="AD31" s="3">
        <f t="shared" si="4"/>
        <v>0.44200659999999997</v>
      </c>
      <c r="AE31" s="4">
        <f t="shared" si="5"/>
        <v>81.252586928375933</v>
      </c>
      <c r="AF31" s="22" t="s">
        <v>639</v>
      </c>
      <c r="AG31" s="22">
        <f t="shared" si="10"/>
        <v>14.999999999999947</v>
      </c>
      <c r="AH31" s="5">
        <f t="shared" si="11"/>
        <v>1218.7888039256347</v>
      </c>
    </row>
    <row r="32" spans="1:34">
      <c r="A32" s="1">
        <v>43923</v>
      </c>
      <c r="B32" s="2">
        <v>0.91666666666666663</v>
      </c>
      <c r="C32" s="22">
        <v>0</v>
      </c>
      <c r="D32" s="22">
        <v>0.85799999999999998</v>
      </c>
      <c r="E32" s="22">
        <v>13.458</v>
      </c>
      <c r="F32" s="3">
        <f t="shared" si="0"/>
        <v>0.28708679999999998</v>
      </c>
      <c r="G32" s="3">
        <f t="shared" si="1"/>
        <v>27.799289257068544</v>
      </c>
      <c r="H32" s="22" t="s">
        <v>637</v>
      </c>
      <c r="I32" s="22">
        <f t="shared" si="6"/>
        <v>15.000000000000107</v>
      </c>
      <c r="J32" s="5">
        <f t="shared" si="7"/>
        <v>416.98933885603111</v>
      </c>
      <c r="K32" s="22"/>
      <c r="L32" s="22"/>
      <c r="M32" s="1">
        <v>43923</v>
      </c>
      <c r="N32" s="2">
        <v>0.91666666666666663</v>
      </c>
      <c r="O32" s="22">
        <v>0</v>
      </c>
      <c r="P32" s="22">
        <v>0.72599999999999998</v>
      </c>
      <c r="Q32" s="22">
        <v>13.784000000000001</v>
      </c>
      <c r="R32" s="3">
        <f t="shared" si="2"/>
        <v>0.24291959999999999</v>
      </c>
      <c r="S32" s="3">
        <f t="shared" si="3"/>
        <v>18.065624175441492</v>
      </c>
      <c r="T32" s="22" t="s">
        <v>638</v>
      </c>
      <c r="U32" s="22">
        <f t="shared" si="8"/>
        <v>15.000000000000107</v>
      </c>
      <c r="V32" s="5">
        <f t="shared" si="9"/>
        <v>270.98436263162432</v>
      </c>
      <c r="W32" s="22"/>
      <c r="X32" s="22"/>
      <c r="Y32" s="1">
        <v>43923</v>
      </c>
      <c r="Z32" s="2">
        <v>0.91666666666666663</v>
      </c>
      <c r="AA32" s="22">
        <v>0</v>
      </c>
      <c r="AB32" s="22">
        <v>1.323</v>
      </c>
      <c r="AC32" s="22">
        <v>14.728</v>
      </c>
      <c r="AD32" s="3">
        <f t="shared" si="4"/>
        <v>0.44267580000000001</v>
      </c>
      <c r="AE32" s="4">
        <f t="shared" si="5"/>
        <v>81.576520414786046</v>
      </c>
      <c r="AF32" s="22" t="s">
        <v>639</v>
      </c>
      <c r="AG32" s="22">
        <f t="shared" si="10"/>
        <v>15.000000000000107</v>
      </c>
      <c r="AH32" s="5">
        <f t="shared" si="11"/>
        <v>1223.6478062217993</v>
      </c>
    </row>
    <row r="33" spans="1:34">
      <c r="A33" s="1">
        <v>43923</v>
      </c>
      <c r="B33" s="2">
        <v>0.92708333333333337</v>
      </c>
      <c r="C33" s="22">
        <v>0</v>
      </c>
      <c r="D33" s="22">
        <v>0.877</v>
      </c>
      <c r="E33" s="22">
        <v>13.365</v>
      </c>
      <c r="F33" s="3">
        <f t="shared" si="0"/>
        <v>0.29344419999999999</v>
      </c>
      <c r="G33" s="3">
        <f t="shared" si="1"/>
        <v>29.415446211348332</v>
      </c>
      <c r="H33" s="22" t="s">
        <v>637</v>
      </c>
      <c r="I33" s="22">
        <f t="shared" si="6"/>
        <v>14.999999999999947</v>
      </c>
      <c r="J33" s="5">
        <f t="shared" si="7"/>
        <v>441.23169317022342</v>
      </c>
      <c r="K33" s="22"/>
      <c r="L33" s="22"/>
      <c r="M33" s="1">
        <v>43923</v>
      </c>
      <c r="N33" s="2">
        <v>0.92708333333333337</v>
      </c>
      <c r="O33" s="22">
        <v>0</v>
      </c>
      <c r="P33" s="22">
        <v>0.74199999999999999</v>
      </c>
      <c r="Q33" s="22">
        <v>13.714</v>
      </c>
      <c r="R33" s="3">
        <f t="shared" si="2"/>
        <v>0.2482732</v>
      </c>
      <c r="S33" s="3">
        <f t="shared" si="3"/>
        <v>19.110786708351661</v>
      </c>
      <c r="T33" s="22" t="s">
        <v>638</v>
      </c>
      <c r="U33" s="22">
        <f t="shared" si="8"/>
        <v>14.999999999999947</v>
      </c>
      <c r="V33" s="5">
        <f t="shared" si="9"/>
        <v>286.66180062527388</v>
      </c>
      <c r="W33" s="22"/>
      <c r="X33" s="22"/>
      <c r="Y33" s="1">
        <v>43923</v>
      </c>
      <c r="Z33" s="2">
        <v>0.92708333333333337</v>
      </c>
      <c r="AA33" s="22">
        <v>0</v>
      </c>
      <c r="AB33" s="22">
        <v>1.3340000000000001</v>
      </c>
      <c r="AC33" s="22">
        <v>14.657</v>
      </c>
      <c r="AD33" s="3">
        <f t="shared" si="4"/>
        <v>0.44635640000000004</v>
      </c>
      <c r="AE33" s="4">
        <f t="shared" si="5"/>
        <v>83.372460463082831</v>
      </c>
      <c r="AF33" s="22" t="s">
        <v>639</v>
      </c>
      <c r="AG33" s="22">
        <f t="shared" si="10"/>
        <v>14.999999999999947</v>
      </c>
      <c r="AH33" s="5">
        <f t="shared" si="11"/>
        <v>1250.5869069462381</v>
      </c>
    </row>
    <row r="34" spans="1:34">
      <c r="A34" s="1">
        <v>43923</v>
      </c>
      <c r="B34" s="2">
        <v>0.9375</v>
      </c>
      <c r="C34" s="22">
        <v>0</v>
      </c>
      <c r="D34" s="22">
        <v>0.82899999999999996</v>
      </c>
      <c r="E34" s="22">
        <v>13.275</v>
      </c>
      <c r="F34" s="3">
        <f t="shared" si="0"/>
        <v>0.2773834</v>
      </c>
      <c r="G34" s="3">
        <f t="shared" si="1"/>
        <v>25.439418427271519</v>
      </c>
      <c r="H34" s="22" t="s">
        <v>637</v>
      </c>
      <c r="I34" s="22">
        <f t="shared" si="6"/>
        <v>14.999999999999947</v>
      </c>
      <c r="J34" s="5">
        <f t="shared" si="7"/>
        <v>381.59127640907144</v>
      </c>
      <c r="K34" s="22"/>
      <c r="L34" s="22"/>
      <c r="M34" s="1">
        <v>43923</v>
      </c>
      <c r="N34" s="2">
        <v>0.9375</v>
      </c>
      <c r="O34" s="22">
        <v>0</v>
      </c>
      <c r="P34" s="22">
        <v>0.69399999999999995</v>
      </c>
      <c r="Q34" s="22">
        <v>13.667</v>
      </c>
      <c r="R34" s="3">
        <f t="shared" si="2"/>
        <v>0.23221239999999999</v>
      </c>
      <c r="S34" s="3">
        <f t="shared" si="3"/>
        <v>16.08214315262909</v>
      </c>
      <c r="T34" s="22" t="s">
        <v>638</v>
      </c>
      <c r="U34" s="22">
        <f t="shared" si="8"/>
        <v>14.999999999999947</v>
      </c>
      <c r="V34" s="5">
        <f t="shared" si="9"/>
        <v>241.23214728943549</v>
      </c>
      <c r="W34" s="22"/>
      <c r="X34" s="22"/>
      <c r="Y34" s="1">
        <v>43923</v>
      </c>
      <c r="Z34" s="2">
        <v>0.9375</v>
      </c>
      <c r="AA34" s="22">
        <v>0</v>
      </c>
      <c r="AB34" s="22">
        <v>1.2889999999999999</v>
      </c>
      <c r="AC34" s="22">
        <v>14.593999999999999</v>
      </c>
      <c r="AD34" s="3">
        <f t="shared" si="4"/>
        <v>0.4312994</v>
      </c>
      <c r="AE34" s="4">
        <f t="shared" si="5"/>
        <v>76.177718108544809</v>
      </c>
      <c r="AF34" s="22" t="s">
        <v>639</v>
      </c>
      <c r="AG34" s="22">
        <f t="shared" si="10"/>
        <v>14.999999999999947</v>
      </c>
      <c r="AH34" s="5">
        <f t="shared" si="11"/>
        <v>1142.6657716281682</v>
      </c>
    </row>
    <row r="35" spans="1:34">
      <c r="A35" s="1">
        <v>43923</v>
      </c>
      <c r="B35" s="2">
        <v>0.94791666666666663</v>
      </c>
      <c r="C35" s="22">
        <v>0</v>
      </c>
      <c r="D35" s="22">
        <v>0.85399999999999998</v>
      </c>
      <c r="E35" s="22">
        <v>13.195</v>
      </c>
      <c r="F35" s="3">
        <f t="shared" si="0"/>
        <v>0.28574840000000001</v>
      </c>
      <c r="G35" s="3">
        <f t="shared" si="1"/>
        <v>27.466150548830168</v>
      </c>
      <c r="H35" s="22" t="s">
        <v>637</v>
      </c>
      <c r="I35" s="22">
        <f t="shared" si="6"/>
        <v>15.000000000000107</v>
      </c>
      <c r="J35" s="5">
        <f t="shared" si="7"/>
        <v>411.99225823245547</v>
      </c>
      <c r="K35" s="22"/>
      <c r="L35" s="22"/>
      <c r="M35" s="1">
        <v>43923</v>
      </c>
      <c r="N35" s="2">
        <v>0.94791666666666663</v>
      </c>
      <c r="O35" s="22">
        <v>0</v>
      </c>
      <c r="P35" s="22">
        <v>0.72399999999999998</v>
      </c>
      <c r="Q35" s="22">
        <v>13.619</v>
      </c>
      <c r="R35" s="3">
        <f t="shared" si="2"/>
        <v>0.2422504</v>
      </c>
      <c r="S35" s="3">
        <f t="shared" si="3"/>
        <v>17.937503161191124</v>
      </c>
      <c r="T35" s="22" t="s">
        <v>638</v>
      </c>
      <c r="U35" s="22">
        <f t="shared" si="8"/>
        <v>15.000000000000107</v>
      </c>
      <c r="V35" s="5">
        <f t="shared" si="9"/>
        <v>269.06254741786876</v>
      </c>
      <c r="W35" s="22"/>
      <c r="X35" s="22"/>
      <c r="Y35" s="1">
        <v>43923</v>
      </c>
      <c r="Z35" s="2">
        <v>0.94791666666666663</v>
      </c>
      <c r="AA35" s="22">
        <v>0</v>
      </c>
      <c r="AB35" s="22">
        <v>1.3140000000000001</v>
      </c>
      <c r="AC35" s="22">
        <v>14.526999999999999</v>
      </c>
      <c r="AD35" s="3">
        <f t="shared" si="4"/>
        <v>0.43966440000000001</v>
      </c>
      <c r="AE35" s="4">
        <f t="shared" si="5"/>
        <v>80.125102333639944</v>
      </c>
      <c r="AF35" s="22" t="s">
        <v>639</v>
      </c>
      <c r="AG35" s="22">
        <f t="shared" si="10"/>
        <v>15.000000000000107</v>
      </c>
      <c r="AH35" s="5">
        <f t="shared" si="11"/>
        <v>1201.8765350046076</v>
      </c>
    </row>
    <row r="36" spans="1:34">
      <c r="A36" s="1">
        <v>43923</v>
      </c>
      <c r="B36" s="2">
        <v>0.95833333333333337</v>
      </c>
      <c r="C36" s="22">
        <v>0</v>
      </c>
      <c r="D36" s="22">
        <v>0.86299999999999999</v>
      </c>
      <c r="E36" s="22">
        <v>13.109</v>
      </c>
      <c r="F36" s="3">
        <f t="shared" si="0"/>
        <v>0.28875980000000001</v>
      </c>
      <c r="G36" s="3">
        <f t="shared" si="1"/>
        <v>28.219176946605117</v>
      </c>
      <c r="H36" s="22" t="s">
        <v>637</v>
      </c>
      <c r="I36" s="22">
        <f t="shared" si="6"/>
        <v>14.999999999999947</v>
      </c>
      <c r="J36" s="5">
        <f t="shared" si="7"/>
        <v>423.28765419907523</v>
      </c>
      <c r="K36" s="22"/>
      <c r="L36" s="22"/>
      <c r="M36" s="1">
        <v>43923</v>
      </c>
      <c r="N36" s="2">
        <v>0.95833333333333337</v>
      </c>
      <c r="O36" s="22">
        <v>0</v>
      </c>
      <c r="P36" s="22">
        <v>0.73099999999999998</v>
      </c>
      <c r="Q36" s="22">
        <v>13.574</v>
      </c>
      <c r="R36" s="3">
        <f t="shared" si="2"/>
        <v>0.24459259999999999</v>
      </c>
      <c r="S36" s="3">
        <f t="shared" si="3"/>
        <v>18.388373751092495</v>
      </c>
      <c r="T36" s="22" t="s">
        <v>638</v>
      </c>
      <c r="U36" s="22">
        <f t="shared" si="8"/>
        <v>14.999999999999947</v>
      </c>
      <c r="V36" s="5">
        <f t="shared" si="9"/>
        <v>275.82560626638644</v>
      </c>
      <c r="W36" s="22"/>
      <c r="X36" s="22"/>
      <c r="Y36" s="1">
        <v>43923</v>
      </c>
      <c r="Z36" s="2">
        <v>0.95833333333333337</v>
      </c>
      <c r="AA36" s="22">
        <v>0</v>
      </c>
      <c r="AB36" s="22">
        <v>1.331</v>
      </c>
      <c r="AC36" s="22">
        <v>14.459</v>
      </c>
      <c r="AD36" s="3">
        <f t="shared" si="4"/>
        <v>0.44535259999999999</v>
      </c>
      <c r="AE36" s="4">
        <f t="shared" si="5"/>
        <v>82.880253844898093</v>
      </c>
      <c r="AF36" s="22" t="s">
        <v>639</v>
      </c>
      <c r="AG36" s="22">
        <f t="shared" si="10"/>
        <v>14.999999999999947</v>
      </c>
      <c r="AH36" s="5">
        <f t="shared" si="11"/>
        <v>1243.2038076734671</v>
      </c>
    </row>
    <row r="37" spans="1:34">
      <c r="A37" s="1">
        <v>43923</v>
      </c>
      <c r="B37" s="2">
        <v>0.96875</v>
      </c>
      <c r="C37" s="22">
        <v>0</v>
      </c>
      <c r="D37" s="22">
        <v>0.871</v>
      </c>
      <c r="E37" s="22">
        <v>13.021000000000001</v>
      </c>
      <c r="F37" s="3">
        <f t="shared" si="0"/>
        <v>0.29143659999999999</v>
      </c>
      <c r="G37" s="3">
        <f t="shared" si="1"/>
        <v>28.899034252103117</v>
      </c>
      <c r="H37" s="22" t="s">
        <v>637</v>
      </c>
      <c r="I37" s="22">
        <f t="shared" si="6"/>
        <v>14.999999999999947</v>
      </c>
      <c r="J37" s="5">
        <f t="shared" si="7"/>
        <v>433.48551378154519</v>
      </c>
      <c r="K37" s="22"/>
      <c r="L37" s="22"/>
      <c r="M37" s="1">
        <v>43923</v>
      </c>
      <c r="N37" s="2">
        <v>0.96875</v>
      </c>
      <c r="O37" s="22">
        <v>0</v>
      </c>
      <c r="P37" s="22">
        <v>0.73599999999999999</v>
      </c>
      <c r="Q37" s="22">
        <v>13.515000000000001</v>
      </c>
      <c r="R37" s="3">
        <f t="shared" si="2"/>
        <v>0.2462656</v>
      </c>
      <c r="S37" s="3">
        <f t="shared" si="3"/>
        <v>18.714630239465794</v>
      </c>
      <c r="T37" s="22" t="s">
        <v>638</v>
      </c>
      <c r="U37" s="22">
        <f t="shared" si="8"/>
        <v>14.999999999999947</v>
      </c>
      <c r="V37" s="5">
        <f t="shared" si="9"/>
        <v>280.71945359198594</v>
      </c>
      <c r="W37" s="22"/>
      <c r="X37" s="22"/>
      <c r="Y37" s="1">
        <v>43923</v>
      </c>
      <c r="Z37" s="2">
        <v>0.96875</v>
      </c>
      <c r="AA37" s="22">
        <v>0</v>
      </c>
      <c r="AB37" s="22">
        <v>1.323</v>
      </c>
      <c r="AC37" s="22">
        <v>14.388999999999999</v>
      </c>
      <c r="AD37" s="3">
        <f t="shared" si="4"/>
        <v>0.44267580000000001</v>
      </c>
      <c r="AE37" s="4">
        <f t="shared" si="5"/>
        <v>81.576520414786046</v>
      </c>
      <c r="AF37" s="22" t="s">
        <v>639</v>
      </c>
      <c r="AG37" s="22">
        <f t="shared" si="10"/>
        <v>14.999999999999947</v>
      </c>
      <c r="AH37" s="5">
        <f t="shared" si="11"/>
        <v>1223.6478062217864</v>
      </c>
    </row>
    <row r="38" spans="1:34">
      <c r="A38" s="1">
        <v>43923</v>
      </c>
      <c r="B38" s="2">
        <v>0.97916666666666663</v>
      </c>
      <c r="C38" s="22">
        <v>0</v>
      </c>
      <c r="D38" s="22">
        <v>0.871</v>
      </c>
      <c r="E38" s="22">
        <v>12.948</v>
      </c>
      <c r="F38" s="3">
        <f t="shared" si="0"/>
        <v>0.29143659999999999</v>
      </c>
      <c r="G38" s="3">
        <f t="shared" si="1"/>
        <v>28.899034252103117</v>
      </c>
      <c r="H38" s="22" t="s">
        <v>637</v>
      </c>
      <c r="I38" s="22">
        <f t="shared" si="6"/>
        <v>15.000000000000107</v>
      </c>
      <c r="J38" s="5">
        <f t="shared" si="7"/>
        <v>433.48551378154986</v>
      </c>
      <c r="K38" s="22"/>
      <c r="L38" s="22"/>
      <c r="M38" s="1">
        <v>43923</v>
      </c>
      <c r="N38" s="2">
        <v>0.97916666666666663</v>
      </c>
      <c r="O38" s="22">
        <v>0</v>
      </c>
      <c r="P38" s="22">
        <v>0.73299999999999998</v>
      </c>
      <c r="Q38" s="22">
        <v>13.452999999999999</v>
      </c>
      <c r="R38" s="3">
        <f t="shared" si="2"/>
        <v>0.2452618</v>
      </c>
      <c r="S38" s="3">
        <f t="shared" si="3"/>
        <v>18.518454738036237</v>
      </c>
      <c r="T38" s="22" t="s">
        <v>638</v>
      </c>
      <c r="U38" s="22">
        <f t="shared" si="8"/>
        <v>15.000000000000107</v>
      </c>
      <c r="V38" s="5">
        <f t="shared" si="9"/>
        <v>277.77682107054551</v>
      </c>
      <c r="W38" s="22"/>
      <c r="X38" s="22"/>
      <c r="Y38" s="1">
        <v>43923</v>
      </c>
      <c r="Z38" s="2">
        <v>0.97916666666666663</v>
      </c>
      <c r="AA38" s="22">
        <v>0</v>
      </c>
      <c r="AB38" s="22">
        <v>1.325</v>
      </c>
      <c r="AC38" s="22">
        <v>14.323</v>
      </c>
      <c r="AD38" s="3">
        <f t="shared" si="4"/>
        <v>0.44334499999999999</v>
      </c>
      <c r="AE38" s="4">
        <f t="shared" si="5"/>
        <v>81.901253088937125</v>
      </c>
      <c r="AF38" s="22" t="s">
        <v>639</v>
      </c>
      <c r="AG38" s="22">
        <f t="shared" si="10"/>
        <v>15.000000000000107</v>
      </c>
      <c r="AH38" s="5">
        <f t="shared" si="11"/>
        <v>1228.5187963340657</v>
      </c>
    </row>
    <row r="39" spans="1:34">
      <c r="A39" s="1">
        <v>43923</v>
      </c>
      <c r="B39" s="2">
        <v>0.98958333333333337</v>
      </c>
      <c r="C39" s="22">
        <v>0</v>
      </c>
      <c r="D39" s="22">
        <v>0.873</v>
      </c>
      <c r="E39" s="22">
        <v>12.884</v>
      </c>
      <c r="F39" s="3">
        <f t="shared" si="0"/>
        <v>0.29210580000000003</v>
      </c>
      <c r="G39" s="3">
        <f t="shared" si="1"/>
        <v>29.070549337890721</v>
      </c>
      <c r="H39" s="22" t="s">
        <v>637</v>
      </c>
      <c r="I39" s="22">
        <v>15</v>
      </c>
      <c r="J39" s="5">
        <f t="shared" si="7"/>
        <v>436.05824006836082</v>
      </c>
      <c r="K39" s="22"/>
      <c r="L39" s="22"/>
      <c r="M39" s="1">
        <v>43923</v>
      </c>
      <c r="N39" s="2">
        <v>0.98958333333333337</v>
      </c>
      <c r="O39" s="22">
        <v>0</v>
      </c>
      <c r="P39" s="22">
        <v>0.73499999999999999</v>
      </c>
      <c r="Q39" s="22">
        <v>13.403</v>
      </c>
      <c r="R39" s="3">
        <f t="shared" si="2"/>
        <v>0.24593100000000001</v>
      </c>
      <c r="S39" s="3">
        <f t="shared" si="3"/>
        <v>18.64909772135427</v>
      </c>
      <c r="T39" s="22" t="s">
        <v>638</v>
      </c>
      <c r="U39" s="22">
        <v>15</v>
      </c>
      <c r="V39" s="5">
        <f t="shared" si="9"/>
        <v>279.73646582031404</v>
      </c>
      <c r="W39" s="22"/>
      <c r="X39" s="22"/>
      <c r="Y39" s="1">
        <v>43923</v>
      </c>
      <c r="Z39" s="2">
        <v>0.98958333333333337</v>
      </c>
      <c r="AA39" s="22">
        <v>0</v>
      </c>
      <c r="AB39" s="22">
        <v>1.323</v>
      </c>
      <c r="AC39" s="22">
        <v>14.252000000000001</v>
      </c>
      <c r="AD39" s="3">
        <f t="shared" si="4"/>
        <v>0.44267580000000001</v>
      </c>
      <c r="AE39" s="4">
        <f t="shared" si="5"/>
        <v>81.576520414786046</v>
      </c>
      <c r="AF39" s="22" t="s">
        <v>639</v>
      </c>
      <c r="AG39" s="22">
        <v>15</v>
      </c>
      <c r="AH39" s="5">
        <f t="shared" si="11"/>
        <v>1223.6478062217907</v>
      </c>
    </row>
    <row r="40" spans="1:34">
      <c r="A40" s="1">
        <v>43924</v>
      </c>
      <c r="B40" s="2">
        <v>0</v>
      </c>
      <c r="C40" s="22">
        <v>0</v>
      </c>
      <c r="D40" s="22">
        <v>0.875</v>
      </c>
      <c r="E40" s="22">
        <v>12.835000000000001</v>
      </c>
      <c r="F40" s="3">
        <f t="shared" si="0"/>
        <v>0.29277500000000001</v>
      </c>
      <c r="G40" s="3">
        <f t="shared" si="1"/>
        <v>29.242686382295282</v>
      </c>
      <c r="H40" s="22" t="s">
        <v>637</v>
      </c>
      <c r="I40" s="22">
        <f t="shared" si="6"/>
        <v>15</v>
      </c>
      <c r="J40" s="5">
        <f t="shared" si="7"/>
        <v>438.64029573442923</v>
      </c>
      <c r="K40" s="22"/>
      <c r="L40" s="22"/>
      <c r="M40" s="1">
        <v>43924</v>
      </c>
      <c r="N40" s="2">
        <v>0</v>
      </c>
      <c r="O40" s="22">
        <v>0</v>
      </c>
      <c r="P40" s="22">
        <v>0.73399999999999999</v>
      </c>
      <c r="Q40" s="22">
        <v>13.414999999999999</v>
      </c>
      <c r="R40" s="3">
        <f t="shared" si="2"/>
        <v>0.24559639999999999</v>
      </c>
      <c r="S40" s="3">
        <f t="shared" si="3"/>
        <v>18.583705924570133</v>
      </c>
      <c r="T40" s="22" t="s">
        <v>638</v>
      </c>
      <c r="U40" s="22">
        <f t="shared" si="8"/>
        <v>15</v>
      </c>
      <c r="V40" s="5">
        <f t="shared" si="9"/>
        <v>278.75558886855197</v>
      </c>
      <c r="W40" s="22"/>
      <c r="X40" s="22"/>
      <c r="Y40" s="1">
        <v>43924</v>
      </c>
      <c r="Z40" s="2">
        <v>0</v>
      </c>
      <c r="AA40" s="22">
        <v>0</v>
      </c>
      <c r="AB40" s="22">
        <v>1.33</v>
      </c>
      <c r="AC40" s="22">
        <v>14.211</v>
      </c>
      <c r="AD40" s="3">
        <f t="shared" si="4"/>
        <v>0.44501800000000002</v>
      </c>
      <c r="AE40" s="4">
        <f t="shared" si="5"/>
        <v>82.716586213164064</v>
      </c>
      <c r="AF40" s="22" t="s">
        <v>639</v>
      </c>
      <c r="AG40" s="22">
        <f t="shared" si="10"/>
        <v>15</v>
      </c>
      <c r="AH40" s="5">
        <f t="shared" si="11"/>
        <v>1240.7487931974611</v>
      </c>
    </row>
    <row r="41" spans="1:34">
      <c r="A41" s="1">
        <v>43924</v>
      </c>
      <c r="B41" s="2">
        <v>1.0416666666666666E-2</v>
      </c>
      <c r="C41" s="22">
        <v>0</v>
      </c>
      <c r="D41" s="22">
        <v>0.86399999999999999</v>
      </c>
      <c r="E41" s="22">
        <v>12.79</v>
      </c>
      <c r="F41" s="3">
        <f t="shared" si="0"/>
        <v>0.28909440000000003</v>
      </c>
      <c r="G41" s="3">
        <f t="shared" si="1"/>
        <v>28.303617431438216</v>
      </c>
      <c r="H41" s="22" t="s">
        <v>637</v>
      </c>
      <c r="I41" s="22">
        <f t="shared" si="6"/>
        <v>15</v>
      </c>
      <c r="J41" s="5">
        <f t="shared" si="7"/>
        <v>424.55426147157323</v>
      </c>
      <c r="K41" s="22"/>
      <c r="L41" s="22"/>
      <c r="M41" s="1">
        <v>43924</v>
      </c>
      <c r="N41" s="2">
        <v>1.0416666666666666E-2</v>
      </c>
      <c r="O41" s="22">
        <v>0</v>
      </c>
      <c r="P41" s="22">
        <v>0.72599999999999998</v>
      </c>
      <c r="Q41" s="22">
        <v>13.407</v>
      </c>
      <c r="R41" s="3">
        <f t="shared" si="2"/>
        <v>0.24291959999999999</v>
      </c>
      <c r="S41" s="3">
        <f t="shared" si="3"/>
        <v>18.065624175441492</v>
      </c>
      <c r="T41" s="22" t="s">
        <v>638</v>
      </c>
      <c r="U41" s="22">
        <f t="shared" si="8"/>
        <v>15</v>
      </c>
      <c r="V41" s="5">
        <f t="shared" si="9"/>
        <v>270.98436263162239</v>
      </c>
      <c r="W41" s="22"/>
      <c r="X41" s="22"/>
      <c r="Y41" s="1">
        <v>43924</v>
      </c>
      <c r="Z41" s="2">
        <v>1.0416666666666666E-2</v>
      </c>
      <c r="AA41" s="22">
        <v>0</v>
      </c>
      <c r="AB41" s="22">
        <v>1.31</v>
      </c>
      <c r="AC41" s="22">
        <v>14.186</v>
      </c>
      <c r="AD41" s="3">
        <f t="shared" si="4"/>
        <v>0.43832600000000005</v>
      </c>
      <c r="AE41" s="4">
        <f t="shared" si="5"/>
        <v>79.485204189937249</v>
      </c>
      <c r="AF41" s="22" t="s">
        <v>639</v>
      </c>
      <c r="AG41" s="22">
        <f t="shared" si="10"/>
        <v>15</v>
      </c>
      <c r="AH41" s="5">
        <f t="shared" si="11"/>
        <v>1192.2780628490586</v>
      </c>
    </row>
    <row r="42" spans="1:34">
      <c r="A42" s="1">
        <v>43924</v>
      </c>
      <c r="B42" s="2">
        <v>2.0833333333333332E-2</v>
      </c>
      <c r="C42" s="22">
        <v>0</v>
      </c>
      <c r="D42" s="22">
        <v>0.92100000000000004</v>
      </c>
      <c r="E42" s="22">
        <v>12.747</v>
      </c>
      <c r="F42" s="3">
        <f t="shared" si="0"/>
        <v>0.30816660000000001</v>
      </c>
      <c r="G42" s="3">
        <f t="shared" si="1"/>
        <v>33.375388961745735</v>
      </c>
      <c r="H42" s="22" t="s">
        <v>637</v>
      </c>
      <c r="I42" s="22">
        <f t="shared" si="6"/>
        <v>15.000000000000002</v>
      </c>
      <c r="J42" s="5">
        <f t="shared" si="7"/>
        <v>500.63083442618608</v>
      </c>
      <c r="K42" s="22"/>
      <c r="L42" s="22"/>
      <c r="M42" s="1">
        <v>43924</v>
      </c>
      <c r="N42" s="2">
        <v>2.0833333333333332E-2</v>
      </c>
      <c r="O42" s="22">
        <v>0</v>
      </c>
      <c r="P42" s="22">
        <v>0.78400000000000003</v>
      </c>
      <c r="Q42" s="22">
        <v>13.375999999999999</v>
      </c>
      <c r="R42" s="3">
        <f t="shared" si="2"/>
        <v>0.26232640000000002</v>
      </c>
      <c r="S42" s="3">
        <f t="shared" si="3"/>
        <v>22.027840925419628</v>
      </c>
      <c r="T42" s="22" t="s">
        <v>638</v>
      </c>
      <c r="U42" s="22">
        <f t="shared" si="8"/>
        <v>15.000000000000002</v>
      </c>
      <c r="V42" s="5">
        <f t="shared" si="9"/>
        <v>330.41761388129447</v>
      </c>
      <c r="W42" s="22"/>
      <c r="X42" s="22"/>
      <c r="Y42" s="1">
        <v>43924</v>
      </c>
      <c r="Z42" s="2">
        <v>2.0833333333333332E-2</v>
      </c>
      <c r="AA42" s="22">
        <v>0</v>
      </c>
      <c r="AB42" s="22">
        <v>1.37</v>
      </c>
      <c r="AC42" s="22">
        <v>14.167999999999999</v>
      </c>
      <c r="AD42" s="3">
        <f t="shared" si="4"/>
        <v>0.45840200000000003</v>
      </c>
      <c r="AE42" s="4">
        <f t="shared" si="5"/>
        <v>89.420661498004904</v>
      </c>
      <c r="AF42" s="22" t="s">
        <v>639</v>
      </c>
      <c r="AG42" s="22">
        <f t="shared" si="10"/>
        <v>15.000000000000002</v>
      </c>
      <c r="AH42" s="5">
        <f t="shared" si="11"/>
        <v>1341.3099224700736</v>
      </c>
    </row>
    <row r="43" spans="1:34">
      <c r="A43" s="1">
        <v>43924</v>
      </c>
      <c r="B43" s="2">
        <v>3.125E-2</v>
      </c>
      <c r="C43" s="22">
        <v>0</v>
      </c>
      <c r="D43" s="22">
        <v>0.91400000000000003</v>
      </c>
      <c r="E43" s="22">
        <v>12.704000000000001</v>
      </c>
      <c r="F43" s="3">
        <f t="shared" si="0"/>
        <v>0.3058244</v>
      </c>
      <c r="G43" s="3">
        <f t="shared" si="1"/>
        <v>32.724850772837215</v>
      </c>
      <c r="H43" s="22" t="s">
        <v>637</v>
      </c>
      <c r="I43" s="22">
        <f t="shared" si="6"/>
        <v>14.999999999999996</v>
      </c>
      <c r="J43" s="5">
        <f t="shared" si="7"/>
        <v>490.87276159255811</v>
      </c>
      <c r="K43" s="22"/>
      <c r="L43" s="22"/>
      <c r="M43" s="1">
        <v>43924</v>
      </c>
      <c r="N43" s="2">
        <v>3.125E-2</v>
      </c>
      <c r="O43" s="22">
        <v>0</v>
      </c>
      <c r="P43" s="22">
        <v>0.77300000000000002</v>
      </c>
      <c r="Q43" s="22">
        <v>13.34</v>
      </c>
      <c r="R43" s="3">
        <f t="shared" si="2"/>
        <v>0.25864580000000004</v>
      </c>
      <c r="S43" s="3">
        <f t="shared" si="3"/>
        <v>21.239269916862014</v>
      </c>
      <c r="T43" s="22" t="s">
        <v>638</v>
      </c>
      <c r="U43" s="22">
        <f t="shared" si="8"/>
        <v>14.999999999999996</v>
      </c>
      <c r="V43" s="5">
        <f t="shared" si="9"/>
        <v>318.58904875293013</v>
      </c>
      <c r="W43" s="22"/>
      <c r="X43" s="22"/>
      <c r="Y43" s="1">
        <v>43924</v>
      </c>
      <c r="Z43" s="2">
        <v>3.125E-2</v>
      </c>
      <c r="AA43" s="22">
        <v>0</v>
      </c>
      <c r="AB43" s="22">
        <v>1.3560000000000001</v>
      </c>
      <c r="AC43" s="22">
        <v>14.146000000000001</v>
      </c>
      <c r="AD43" s="3">
        <f t="shared" si="4"/>
        <v>0.45371760000000005</v>
      </c>
      <c r="AE43" s="4">
        <f t="shared" si="5"/>
        <v>87.037372125902934</v>
      </c>
      <c r="AF43" s="22" t="s">
        <v>639</v>
      </c>
      <c r="AG43" s="22">
        <f t="shared" si="10"/>
        <v>14.999999999999996</v>
      </c>
      <c r="AH43" s="5">
        <f t="shared" si="11"/>
        <v>1305.5605818885438</v>
      </c>
    </row>
    <row r="44" spans="1:34">
      <c r="A44" s="1">
        <v>43924</v>
      </c>
      <c r="B44" s="2">
        <v>4.1666666666666664E-2</v>
      </c>
      <c r="C44" s="22">
        <v>0</v>
      </c>
      <c r="D44" s="22">
        <v>0.90800000000000003</v>
      </c>
      <c r="E44" s="22">
        <v>12.654999999999999</v>
      </c>
      <c r="F44" s="3">
        <f t="shared" si="0"/>
        <v>0.3038168</v>
      </c>
      <c r="G44" s="3">
        <f t="shared" si="1"/>
        <v>32.173475607375572</v>
      </c>
      <c r="H44" s="22" t="s">
        <v>637</v>
      </c>
      <c r="I44" s="22">
        <f t="shared" si="6"/>
        <v>15.000000000000007</v>
      </c>
      <c r="J44" s="5">
        <f t="shared" si="7"/>
        <v>482.60213411063381</v>
      </c>
      <c r="K44" s="22"/>
      <c r="L44" s="22"/>
      <c r="M44" s="1">
        <v>43924</v>
      </c>
      <c r="N44" s="2">
        <v>4.1666666666666664E-2</v>
      </c>
      <c r="O44" s="22">
        <v>0</v>
      </c>
      <c r="P44" s="22">
        <v>0.76400000000000001</v>
      </c>
      <c r="Q44" s="22">
        <v>13.287000000000001</v>
      </c>
      <c r="R44" s="3">
        <f t="shared" si="2"/>
        <v>0.25563439999999998</v>
      </c>
      <c r="S44" s="3">
        <f t="shared" si="3"/>
        <v>20.607122602702333</v>
      </c>
      <c r="T44" s="22" t="s">
        <v>638</v>
      </c>
      <c r="U44" s="22">
        <f t="shared" si="8"/>
        <v>15.000000000000007</v>
      </c>
      <c r="V44" s="5">
        <f t="shared" si="9"/>
        <v>309.10683904053514</v>
      </c>
      <c r="W44" s="22"/>
      <c r="X44" s="22"/>
      <c r="Y44" s="1">
        <v>43924</v>
      </c>
      <c r="Z44" s="2">
        <v>4.1666666666666664E-2</v>
      </c>
      <c r="AA44" s="22">
        <v>0</v>
      </c>
      <c r="AB44" s="22">
        <v>1.3680000000000001</v>
      </c>
      <c r="AC44" s="22">
        <v>14.12</v>
      </c>
      <c r="AD44" s="3">
        <f t="shared" si="4"/>
        <v>0.45773280000000005</v>
      </c>
      <c r="AE44" s="4">
        <f t="shared" si="5"/>
        <v>89.077746728390082</v>
      </c>
      <c r="AF44" s="22" t="s">
        <v>639</v>
      </c>
      <c r="AG44" s="22">
        <f t="shared" si="10"/>
        <v>15.000000000000007</v>
      </c>
      <c r="AH44" s="5">
        <f t="shared" si="11"/>
        <v>1336.1662009258519</v>
      </c>
    </row>
    <row r="45" spans="1:34">
      <c r="A45" s="1">
        <v>43924</v>
      </c>
      <c r="B45" s="2">
        <v>5.2083333333333336E-2</v>
      </c>
      <c r="C45" s="22">
        <v>0</v>
      </c>
      <c r="D45" s="22">
        <v>0.91400000000000003</v>
      </c>
      <c r="E45" s="22">
        <v>12.599</v>
      </c>
      <c r="F45" s="3">
        <f t="shared" si="0"/>
        <v>0.3058244</v>
      </c>
      <c r="G45" s="3">
        <f t="shared" si="1"/>
        <v>32.724850772837215</v>
      </c>
      <c r="H45" s="22" t="s">
        <v>637</v>
      </c>
      <c r="I45" s="22">
        <f t="shared" si="6"/>
        <v>14.999999999999996</v>
      </c>
      <c r="J45" s="5">
        <f t="shared" si="7"/>
        <v>490.87276159255811</v>
      </c>
      <c r="K45" s="22"/>
      <c r="L45" s="22"/>
      <c r="M45" s="1">
        <v>43924</v>
      </c>
      <c r="N45" s="2">
        <v>5.2083333333333336E-2</v>
      </c>
      <c r="O45" s="22">
        <v>0</v>
      </c>
      <c r="P45" s="22">
        <v>0.77400000000000002</v>
      </c>
      <c r="Q45" s="22">
        <v>13.24</v>
      </c>
      <c r="R45" s="3">
        <f t="shared" si="2"/>
        <v>0.2589804</v>
      </c>
      <c r="S45" s="3">
        <f t="shared" si="3"/>
        <v>21.310231537589381</v>
      </c>
      <c r="T45" s="22" t="s">
        <v>638</v>
      </c>
      <c r="U45" s="22">
        <f t="shared" si="8"/>
        <v>14.999999999999996</v>
      </c>
      <c r="V45" s="5">
        <f t="shared" si="9"/>
        <v>319.65347306384064</v>
      </c>
      <c r="W45" s="22"/>
      <c r="X45" s="22"/>
      <c r="Y45" s="1">
        <v>43924</v>
      </c>
      <c r="Z45" s="2">
        <v>5.2083333333333336E-2</v>
      </c>
      <c r="AA45" s="22">
        <v>0</v>
      </c>
      <c r="AB45" s="22">
        <v>1.359</v>
      </c>
      <c r="AC45" s="22">
        <v>14.077999999999999</v>
      </c>
      <c r="AD45" s="3">
        <f t="shared" si="4"/>
        <v>0.4547214</v>
      </c>
      <c r="AE45" s="4">
        <f t="shared" si="5"/>
        <v>87.544719967365452</v>
      </c>
      <c r="AF45" s="22" t="s">
        <v>639</v>
      </c>
      <c r="AG45" s="22">
        <f t="shared" si="10"/>
        <v>14.999999999999996</v>
      </c>
      <c r="AH45" s="5">
        <f t="shared" si="11"/>
        <v>1313.1707995104814</v>
      </c>
    </row>
    <row r="46" spans="1:34">
      <c r="A46" s="1">
        <v>43924</v>
      </c>
      <c r="B46" s="2">
        <v>6.25E-2</v>
      </c>
      <c r="C46" s="22">
        <v>0</v>
      </c>
      <c r="D46" s="22">
        <v>0.92600000000000005</v>
      </c>
      <c r="E46" s="22">
        <v>12.548</v>
      </c>
      <c r="F46" s="3">
        <f t="shared" si="0"/>
        <v>0.30983960000000005</v>
      </c>
      <c r="G46" s="3">
        <f t="shared" si="1"/>
        <v>33.844868844952849</v>
      </c>
      <c r="H46" s="22" t="s">
        <v>637</v>
      </c>
      <c r="I46" s="22">
        <f t="shared" si="6"/>
        <v>15.000000000000007</v>
      </c>
      <c r="J46" s="5">
        <f t="shared" si="7"/>
        <v>507.67303267429298</v>
      </c>
      <c r="K46" s="22"/>
      <c r="L46" s="22"/>
      <c r="M46" s="1">
        <v>43924</v>
      </c>
      <c r="N46" s="2">
        <v>6.25E-2</v>
      </c>
      <c r="O46" s="22">
        <v>0</v>
      </c>
      <c r="P46" s="22">
        <v>0.78400000000000003</v>
      </c>
      <c r="Q46" s="22">
        <v>13.212</v>
      </c>
      <c r="R46" s="3">
        <f t="shared" si="2"/>
        <v>0.26232640000000002</v>
      </c>
      <c r="S46" s="3">
        <f t="shared" si="3"/>
        <v>22.027840925419628</v>
      </c>
      <c r="T46" s="22" t="s">
        <v>638</v>
      </c>
      <c r="U46" s="22">
        <f t="shared" si="8"/>
        <v>15.000000000000007</v>
      </c>
      <c r="V46" s="5">
        <f t="shared" si="9"/>
        <v>330.41761388129459</v>
      </c>
      <c r="W46" s="22"/>
      <c r="X46" s="22"/>
      <c r="Y46" s="1">
        <v>43924</v>
      </c>
      <c r="Z46" s="2">
        <v>6.25E-2</v>
      </c>
      <c r="AA46" s="22">
        <v>0</v>
      </c>
      <c r="AB46" s="22">
        <v>1.3779999999999999</v>
      </c>
      <c r="AC46" s="22">
        <v>14.025</v>
      </c>
      <c r="AD46" s="3">
        <f t="shared" si="4"/>
        <v>0.46107879999999996</v>
      </c>
      <c r="AE46" s="4">
        <f t="shared" si="5"/>
        <v>90.800497672448415</v>
      </c>
      <c r="AF46" s="22" t="s">
        <v>639</v>
      </c>
      <c r="AG46" s="22">
        <f t="shared" si="10"/>
        <v>15.000000000000007</v>
      </c>
      <c r="AH46" s="5">
        <f t="shared" si="11"/>
        <v>1362.0074650867268</v>
      </c>
    </row>
    <row r="47" spans="1:34">
      <c r="A47" s="1">
        <v>43924</v>
      </c>
      <c r="B47" s="2">
        <v>7.2916666666666671E-2</v>
      </c>
      <c r="C47" s="22">
        <v>0</v>
      </c>
      <c r="D47" s="22">
        <v>0.90300000000000002</v>
      </c>
      <c r="E47" s="22">
        <v>12.496</v>
      </c>
      <c r="F47" s="3">
        <f t="shared" si="0"/>
        <v>0.30214380000000002</v>
      </c>
      <c r="G47" s="3">
        <f t="shared" si="1"/>
        <v>31.718371804944049</v>
      </c>
      <c r="H47" s="22" t="s">
        <v>637</v>
      </c>
      <c r="I47" s="22">
        <f t="shared" si="6"/>
        <v>14.999999999999988</v>
      </c>
      <c r="J47" s="5">
        <f t="shared" si="7"/>
        <v>475.77557707416031</v>
      </c>
      <c r="K47" s="22"/>
      <c r="L47" s="22"/>
      <c r="M47" s="1">
        <v>43924</v>
      </c>
      <c r="N47" s="2">
        <v>7.2916666666666671E-2</v>
      </c>
      <c r="O47" s="22">
        <v>0</v>
      </c>
      <c r="P47" s="22">
        <v>0.76</v>
      </c>
      <c r="Q47" s="22">
        <v>13.215999999999999</v>
      </c>
      <c r="R47" s="3">
        <f t="shared" si="2"/>
        <v>0.25429600000000002</v>
      </c>
      <c r="S47" s="3">
        <f t="shared" si="3"/>
        <v>20.329914769122631</v>
      </c>
      <c r="T47" s="22" t="s">
        <v>638</v>
      </c>
      <c r="U47" s="22">
        <f t="shared" si="8"/>
        <v>14.999999999999988</v>
      </c>
      <c r="V47" s="5">
        <f t="shared" si="9"/>
        <v>304.94872153683923</v>
      </c>
      <c r="W47" s="22"/>
      <c r="X47" s="22"/>
      <c r="Y47" s="1">
        <v>43924</v>
      </c>
      <c r="Z47" s="2">
        <v>7.2916666666666671E-2</v>
      </c>
      <c r="AA47" s="22">
        <v>0</v>
      </c>
      <c r="AB47" s="22">
        <v>1.3540000000000001</v>
      </c>
      <c r="AC47" s="22">
        <v>13.981</v>
      </c>
      <c r="AD47" s="3">
        <f t="shared" si="4"/>
        <v>0.45304840000000002</v>
      </c>
      <c r="AE47" s="4">
        <f t="shared" si="5"/>
        <v>86.700155000074446</v>
      </c>
      <c r="AF47" s="22" t="s">
        <v>639</v>
      </c>
      <c r="AG47" s="22">
        <f t="shared" si="10"/>
        <v>14.999999999999988</v>
      </c>
      <c r="AH47" s="5">
        <f t="shared" si="11"/>
        <v>1300.5023250011157</v>
      </c>
    </row>
    <row r="48" spans="1:34">
      <c r="A48" s="1">
        <v>43924</v>
      </c>
      <c r="B48" s="2">
        <v>8.3333333333333329E-2</v>
      </c>
      <c r="C48" s="22">
        <v>0</v>
      </c>
      <c r="D48" s="22">
        <v>0.89500000000000002</v>
      </c>
      <c r="E48" s="22">
        <v>12.436</v>
      </c>
      <c r="F48" s="3">
        <f t="shared" si="0"/>
        <v>0.29946700000000004</v>
      </c>
      <c r="G48" s="3">
        <f t="shared" si="1"/>
        <v>30.998445886888806</v>
      </c>
      <c r="H48" s="22" t="s">
        <v>637</v>
      </c>
      <c r="I48" s="22">
        <f t="shared" si="6"/>
        <v>15.000000000000007</v>
      </c>
      <c r="J48" s="5">
        <f t="shared" si="7"/>
        <v>464.97668830333231</v>
      </c>
      <c r="K48" s="22"/>
      <c r="L48" s="22"/>
      <c r="M48" s="1">
        <v>43924</v>
      </c>
      <c r="N48" s="2">
        <v>8.3333333333333329E-2</v>
      </c>
      <c r="O48" s="22">
        <v>0</v>
      </c>
      <c r="P48" s="22">
        <v>0.755</v>
      </c>
      <c r="Q48" s="22">
        <v>13.19</v>
      </c>
      <c r="R48" s="3">
        <f t="shared" si="2"/>
        <v>0.25262299999999999</v>
      </c>
      <c r="S48" s="3">
        <f t="shared" si="3"/>
        <v>19.986632407441249</v>
      </c>
      <c r="T48" s="22" t="s">
        <v>638</v>
      </c>
      <c r="U48" s="22">
        <f t="shared" si="8"/>
        <v>15.000000000000007</v>
      </c>
      <c r="V48" s="5">
        <f t="shared" si="9"/>
        <v>299.79948611161888</v>
      </c>
      <c r="W48" s="22"/>
      <c r="X48" s="22"/>
      <c r="Y48" s="1">
        <v>43924</v>
      </c>
      <c r="Z48" s="2">
        <v>8.3333333333333329E-2</v>
      </c>
      <c r="AA48" s="22">
        <v>0</v>
      </c>
      <c r="AB48" s="22">
        <v>1.35</v>
      </c>
      <c r="AC48" s="22">
        <v>13.943</v>
      </c>
      <c r="AD48" s="3">
        <f t="shared" si="4"/>
        <v>0.45171000000000006</v>
      </c>
      <c r="AE48" s="4">
        <f t="shared" si="5"/>
        <v>86.028152797600058</v>
      </c>
      <c r="AF48" s="22" t="s">
        <v>639</v>
      </c>
      <c r="AG48" s="22">
        <f t="shared" si="10"/>
        <v>15.000000000000007</v>
      </c>
      <c r="AH48" s="5">
        <f t="shared" si="11"/>
        <v>1290.4222919640015</v>
      </c>
    </row>
    <row r="49" spans="1:34">
      <c r="A49" s="1">
        <v>43924</v>
      </c>
      <c r="B49" s="2">
        <v>9.375E-2</v>
      </c>
      <c r="C49" s="22">
        <v>0</v>
      </c>
      <c r="D49" s="22">
        <v>0.879</v>
      </c>
      <c r="E49" s="22">
        <v>12.371</v>
      </c>
      <c r="F49" s="3">
        <f t="shared" si="0"/>
        <v>0.29411340000000002</v>
      </c>
      <c r="G49" s="3">
        <f t="shared" si="1"/>
        <v>29.588829650288833</v>
      </c>
      <c r="H49" s="22" t="s">
        <v>637</v>
      </c>
      <c r="I49" s="22">
        <f t="shared" si="6"/>
        <v>15.000000000000007</v>
      </c>
      <c r="J49" s="5">
        <f t="shared" si="7"/>
        <v>443.8324447543327</v>
      </c>
      <c r="K49" s="22"/>
      <c r="L49" s="22"/>
      <c r="M49" s="1">
        <v>43924</v>
      </c>
      <c r="N49" s="2">
        <v>9.375E-2</v>
      </c>
      <c r="O49" s="22">
        <v>0</v>
      </c>
      <c r="P49" s="22">
        <v>0.73799999999999999</v>
      </c>
      <c r="Q49" s="22">
        <v>13.173999999999999</v>
      </c>
      <c r="R49" s="3">
        <f t="shared" si="2"/>
        <v>0.24693480000000001</v>
      </c>
      <c r="S49" s="3">
        <f t="shared" si="3"/>
        <v>18.846117883662561</v>
      </c>
      <c r="T49" s="22" t="s">
        <v>638</v>
      </c>
      <c r="U49" s="22">
        <f t="shared" si="8"/>
        <v>15.000000000000007</v>
      </c>
      <c r="V49" s="5">
        <f t="shared" si="9"/>
        <v>282.69176825493855</v>
      </c>
      <c r="W49" s="22"/>
      <c r="X49" s="22"/>
      <c r="Y49" s="1">
        <v>43924</v>
      </c>
      <c r="Z49" s="2">
        <v>9.375E-2</v>
      </c>
      <c r="AA49" s="22">
        <v>0</v>
      </c>
      <c r="AB49" s="22">
        <v>1.3340000000000001</v>
      </c>
      <c r="AC49" s="22">
        <v>13.894</v>
      </c>
      <c r="AD49" s="3">
        <f t="shared" si="4"/>
        <v>0.44635640000000004</v>
      </c>
      <c r="AE49" s="4">
        <f t="shared" si="5"/>
        <v>83.372460463082831</v>
      </c>
      <c r="AF49" s="22" t="s">
        <v>639</v>
      </c>
      <c r="AG49" s="22">
        <f t="shared" si="10"/>
        <v>15.000000000000007</v>
      </c>
      <c r="AH49" s="5">
        <f t="shared" si="11"/>
        <v>1250.5869069462431</v>
      </c>
    </row>
    <row r="50" spans="1:34">
      <c r="A50" s="1">
        <v>43924</v>
      </c>
      <c r="B50" s="2">
        <v>0.10416666666666667</v>
      </c>
      <c r="C50" s="22">
        <v>0</v>
      </c>
      <c r="D50" s="22">
        <v>0.92800000000000005</v>
      </c>
      <c r="E50" s="22">
        <v>12.31</v>
      </c>
      <c r="F50" s="3">
        <f t="shared" si="0"/>
        <v>0.31050880000000003</v>
      </c>
      <c r="G50" s="3">
        <f t="shared" si="1"/>
        <v>34.03378637052807</v>
      </c>
      <c r="H50" s="22" t="s">
        <v>637</v>
      </c>
      <c r="I50" s="22">
        <f t="shared" si="6"/>
        <v>14.999999999999988</v>
      </c>
      <c r="J50" s="5">
        <f t="shared" si="7"/>
        <v>510.50679555792061</v>
      </c>
      <c r="K50" s="22"/>
      <c r="L50" s="22"/>
      <c r="M50" s="1">
        <v>43924</v>
      </c>
      <c r="N50" s="2">
        <v>0.10416666666666667</v>
      </c>
      <c r="O50" s="22">
        <v>0</v>
      </c>
      <c r="P50" s="22">
        <v>0.78800000000000003</v>
      </c>
      <c r="Q50" s="22">
        <v>13.153</v>
      </c>
      <c r="R50" s="3">
        <f t="shared" si="2"/>
        <v>0.26366480000000003</v>
      </c>
      <c r="S50" s="3">
        <f t="shared" si="3"/>
        <v>22.318969101365841</v>
      </c>
      <c r="T50" s="22" t="s">
        <v>638</v>
      </c>
      <c r="U50" s="22">
        <f t="shared" si="8"/>
        <v>14.999999999999988</v>
      </c>
      <c r="V50" s="5">
        <f t="shared" si="9"/>
        <v>334.78453652048734</v>
      </c>
      <c r="W50" s="22"/>
      <c r="X50" s="22"/>
      <c r="Y50" s="1">
        <v>43924</v>
      </c>
      <c r="Z50" s="2">
        <v>0.10416666666666667</v>
      </c>
      <c r="AA50" s="22">
        <v>0</v>
      </c>
      <c r="AB50" s="22">
        <v>1.3740000000000001</v>
      </c>
      <c r="AC50" s="22">
        <v>13.849</v>
      </c>
      <c r="AD50" s="3">
        <f t="shared" si="4"/>
        <v>0.45974040000000005</v>
      </c>
      <c r="AE50" s="4">
        <f t="shared" si="5"/>
        <v>90.108942664315691</v>
      </c>
      <c r="AF50" s="22" t="s">
        <v>639</v>
      </c>
      <c r="AG50" s="22">
        <f t="shared" si="10"/>
        <v>14.999999999999988</v>
      </c>
      <c r="AH50" s="5">
        <f t="shared" si="11"/>
        <v>1351.6341399647342</v>
      </c>
    </row>
    <row r="51" spans="1:34">
      <c r="A51" s="1">
        <v>43924</v>
      </c>
      <c r="B51" s="2">
        <v>0.11458333333333333</v>
      </c>
      <c r="C51" s="22">
        <v>0</v>
      </c>
      <c r="D51" s="22">
        <v>0.93100000000000005</v>
      </c>
      <c r="E51" s="22">
        <v>12.242000000000001</v>
      </c>
      <c r="F51" s="3">
        <f t="shared" si="0"/>
        <v>0.31151260000000003</v>
      </c>
      <c r="G51" s="3">
        <f t="shared" si="1"/>
        <v>34.31837114807913</v>
      </c>
      <c r="H51" s="22" t="s">
        <v>637</v>
      </c>
      <c r="I51" s="22">
        <f t="shared" si="6"/>
        <v>15.000000000000007</v>
      </c>
      <c r="J51" s="5">
        <f t="shared" si="7"/>
        <v>514.7755672211872</v>
      </c>
      <c r="K51" s="22"/>
      <c r="L51" s="22"/>
      <c r="M51" s="1">
        <v>43924</v>
      </c>
      <c r="N51" s="2">
        <v>0.11458333333333333</v>
      </c>
      <c r="O51" s="22">
        <v>0</v>
      </c>
      <c r="P51" s="22">
        <v>0.79200000000000004</v>
      </c>
      <c r="Q51" s="22">
        <v>13.129</v>
      </c>
      <c r="R51" s="3">
        <f t="shared" si="2"/>
        <v>0.26500319999999999</v>
      </c>
      <c r="S51" s="3">
        <f t="shared" si="3"/>
        <v>22.612441604608684</v>
      </c>
      <c r="T51" s="22" t="s">
        <v>638</v>
      </c>
      <c r="U51" s="22">
        <f t="shared" si="8"/>
        <v>15.000000000000007</v>
      </c>
      <c r="V51" s="5">
        <f t="shared" si="9"/>
        <v>339.1866240691304</v>
      </c>
      <c r="W51" s="22"/>
      <c r="X51" s="22"/>
      <c r="Y51" s="1">
        <v>43924</v>
      </c>
      <c r="Z51" s="2">
        <v>0.11458333333333333</v>
      </c>
      <c r="AA51" s="22">
        <v>0</v>
      </c>
      <c r="AB51" s="22">
        <v>1.3779999999999999</v>
      </c>
      <c r="AC51" s="22">
        <v>13.795999999999999</v>
      </c>
      <c r="AD51" s="3">
        <f t="shared" si="4"/>
        <v>0.46107879999999996</v>
      </c>
      <c r="AE51" s="4">
        <f t="shared" si="5"/>
        <v>90.800497672448415</v>
      </c>
      <c r="AF51" s="22" t="s">
        <v>639</v>
      </c>
      <c r="AG51" s="22">
        <f t="shared" si="10"/>
        <v>15.000000000000007</v>
      </c>
      <c r="AH51" s="5">
        <f t="shared" si="11"/>
        <v>1362.0074650867268</v>
      </c>
    </row>
    <row r="52" spans="1:34">
      <c r="A52" s="1">
        <v>43924</v>
      </c>
      <c r="B52" s="2">
        <v>0.125</v>
      </c>
      <c r="C52" s="22">
        <v>0</v>
      </c>
      <c r="D52" s="22">
        <v>0.93200000000000005</v>
      </c>
      <c r="E52" s="22">
        <v>12.18</v>
      </c>
      <c r="F52" s="3">
        <f t="shared" si="0"/>
        <v>0.31184720000000005</v>
      </c>
      <c r="G52" s="3">
        <f t="shared" si="1"/>
        <v>34.413555406898091</v>
      </c>
      <c r="H52" s="22" t="s">
        <v>637</v>
      </c>
      <c r="I52" s="22">
        <f t="shared" si="6"/>
        <v>14.999999999999988</v>
      </c>
      <c r="J52" s="5">
        <f t="shared" si="7"/>
        <v>516.20333110347099</v>
      </c>
      <c r="K52" s="22"/>
      <c r="L52" s="22"/>
      <c r="M52" s="1">
        <v>43924</v>
      </c>
      <c r="N52" s="2">
        <v>0.125</v>
      </c>
      <c r="O52" s="22">
        <v>0</v>
      </c>
      <c r="P52" s="22">
        <v>0.78700000000000003</v>
      </c>
      <c r="Q52" s="22">
        <v>13.087999999999999</v>
      </c>
      <c r="R52" s="3">
        <f t="shared" si="2"/>
        <v>0.26333020000000001</v>
      </c>
      <c r="S52" s="3">
        <f t="shared" si="3"/>
        <v>22.245967546344033</v>
      </c>
      <c r="T52" s="22" t="s">
        <v>638</v>
      </c>
      <c r="U52" s="22">
        <f t="shared" si="8"/>
        <v>14.999999999999988</v>
      </c>
      <c r="V52" s="5">
        <f t="shared" si="9"/>
        <v>333.6895131951602</v>
      </c>
      <c r="W52" s="22"/>
      <c r="X52" s="22"/>
      <c r="Y52" s="1">
        <v>43924</v>
      </c>
      <c r="Z52" s="2">
        <v>0.125</v>
      </c>
      <c r="AA52" s="22">
        <v>0</v>
      </c>
      <c r="AB52" s="22">
        <v>1.3879999999999999</v>
      </c>
      <c r="AC52" s="22">
        <v>13.731</v>
      </c>
      <c r="AD52" s="3">
        <f t="shared" si="4"/>
        <v>0.46442479999999997</v>
      </c>
      <c r="AE52" s="4">
        <f t="shared" si="5"/>
        <v>92.543747617776788</v>
      </c>
      <c r="AF52" s="22" t="s">
        <v>639</v>
      </c>
      <c r="AG52" s="22">
        <f t="shared" si="10"/>
        <v>14.999999999999988</v>
      </c>
      <c r="AH52" s="5">
        <f t="shared" si="11"/>
        <v>1388.1562142666507</v>
      </c>
    </row>
    <row r="53" spans="1:34">
      <c r="A53" s="1">
        <v>43924</v>
      </c>
      <c r="B53" s="2">
        <v>0.13541666666666666</v>
      </c>
      <c r="C53" s="22">
        <v>0</v>
      </c>
      <c r="D53" s="22">
        <v>0.95</v>
      </c>
      <c r="E53" s="22">
        <v>12.103</v>
      </c>
      <c r="F53" s="3">
        <f t="shared" si="0"/>
        <v>0.31786999999999999</v>
      </c>
      <c r="G53" s="3">
        <f t="shared" si="1"/>
        <v>36.154585883921619</v>
      </c>
      <c r="H53" s="22" t="s">
        <v>637</v>
      </c>
      <c r="I53" s="22">
        <f t="shared" si="6"/>
        <v>15.000000000000027</v>
      </c>
      <c r="J53" s="5">
        <f t="shared" si="7"/>
        <v>542.31878825882529</v>
      </c>
      <c r="K53" s="22"/>
      <c r="L53" s="22"/>
      <c r="M53" s="1">
        <v>43924</v>
      </c>
      <c r="N53" s="2">
        <v>0.13541666666666666</v>
      </c>
      <c r="O53" s="22">
        <v>0</v>
      </c>
      <c r="P53" s="22">
        <v>0.81200000000000006</v>
      </c>
      <c r="Q53" s="22">
        <v>13.053000000000001</v>
      </c>
      <c r="R53" s="3">
        <f t="shared" si="2"/>
        <v>0.27169520000000003</v>
      </c>
      <c r="S53" s="3">
        <f t="shared" si="3"/>
        <v>24.115209837453342</v>
      </c>
      <c r="T53" s="22" t="s">
        <v>638</v>
      </c>
      <c r="U53" s="22">
        <f t="shared" si="8"/>
        <v>15.000000000000027</v>
      </c>
      <c r="V53" s="5">
        <f t="shared" si="9"/>
        <v>361.72814756180077</v>
      </c>
      <c r="W53" s="22"/>
      <c r="X53" s="22"/>
      <c r="Y53" s="1">
        <v>43924</v>
      </c>
      <c r="Z53" s="2">
        <v>0.13541666666666666</v>
      </c>
      <c r="AA53" s="22">
        <v>0</v>
      </c>
      <c r="AB53" s="22">
        <v>1.405</v>
      </c>
      <c r="AC53" s="22">
        <v>13.661</v>
      </c>
      <c r="AD53" s="3">
        <f t="shared" si="4"/>
        <v>0.470113</v>
      </c>
      <c r="AE53" s="4">
        <f t="shared" si="5"/>
        <v>95.554582524579985</v>
      </c>
      <c r="AF53" s="22" t="s">
        <v>639</v>
      </c>
      <c r="AG53" s="22">
        <f t="shared" si="10"/>
        <v>15.000000000000027</v>
      </c>
      <c r="AH53" s="5">
        <f t="shared" si="11"/>
        <v>1433.3187378687023</v>
      </c>
    </row>
    <row r="54" spans="1:34">
      <c r="A54" s="1">
        <v>43924</v>
      </c>
      <c r="B54" s="2">
        <v>0.14583333333333334</v>
      </c>
      <c r="C54" s="22">
        <v>0</v>
      </c>
      <c r="D54" s="22">
        <v>0.90400000000000003</v>
      </c>
      <c r="E54" s="22">
        <v>12.026</v>
      </c>
      <c r="F54" s="3">
        <f t="shared" si="0"/>
        <v>0.30247840000000004</v>
      </c>
      <c r="G54" s="3">
        <f t="shared" si="1"/>
        <v>31.8090750247441</v>
      </c>
      <c r="H54" s="22" t="s">
        <v>637</v>
      </c>
      <c r="I54" s="22">
        <f t="shared" si="6"/>
        <v>14.999999999999988</v>
      </c>
      <c r="J54" s="5">
        <f t="shared" si="7"/>
        <v>477.13612537116109</v>
      </c>
      <c r="K54" s="22"/>
      <c r="L54" s="22"/>
      <c r="M54" s="1">
        <v>43924</v>
      </c>
      <c r="N54" s="2">
        <v>0.14583333333333334</v>
      </c>
      <c r="O54" s="22">
        <v>0</v>
      </c>
      <c r="P54" s="22">
        <v>0.76500000000000001</v>
      </c>
      <c r="Q54" s="22">
        <v>13.012</v>
      </c>
      <c r="R54" s="3">
        <f t="shared" si="2"/>
        <v>0.255969</v>
      </c>
      <c r="S54" s="3">
        <f t="shared" si="3"/>
        <v>20.676784076430266</v>
      </c>
      <c r="T54" s="22" t="s">
        <v>638</v>
      </c>
      <c r="U54" s="22">
        <f t="shared" si="8"/>
        <v>14.999999999999988</v>
      </c>
      <c r="V54" s="5">
        <f t="shared" si="9"/>
        <v>310.15176114645374</v>
      </c>
      <c r="W54" s="22"/>
      <c r="X54" s="22"/>
      <c r="Y54" s="1">
        <v>43924</v>
      </c>
      <c r="Z54" s="2">
        <v>0.14583333333333334</v>
      </c>
      <c r="AA54" s="22">
        <v>0</v>
      </c>
      <c r="AB54" s="22">
        <v>1.36</v>
      </c>
      <c r="AC54" s="22">
        <v>13.573</v>
      </c>
      <c r="AD54" s="3">
        <f t="shared" si="4"/>
        <v>0.45505600000000007</v>
      </c>
      <c r="AE54" s="4">
        <f t="shared" si="5"/>
        <v>87.714242198895377</v>
      </c>
      <c r="AF54" s="22" t="s">
        <v>639</v>
      </c>
      <c r="AG54" s="22">
        <f t="shared" si="10"/>
        <v>14.999999999999988</v>
      </c>
      <c r="AH54" s="5">
        <f t="shared" si="11"/>
        <v>1315.7136329834295</v>
      </c>
    </row>
    <row r="55" spans="1:34">
      <c r="A55" s="1">
        <v>43924</v>
      </c>
      <c r="B55" s="2">
        <v>0.15625</v>
      </c>
      <c r="C55" s="22">
        <v>0</v>
      </c>
      <c r="D55" s="22">
        <v>0.90200000000000002</v>
      </c>
      <c r="E55" s="22">
        <v>11.962999999999999</v>
      </c>
      <c r="F55" s="3">
        <f t="shared" si="0"/>
        <v>0.3018092</v>
      </c>
      <c r="G55" s="3">
        <f t="shared" si="1"/>
        <v>31.627827151909383</v>
      </c>
      <c r="H55" s="22" t="s">
        <v>637</v>
      </c>
      <c r="I55" s="22">
        <f t="shared" si="6"/>
        <v>14.999999999999988</v>
      </c>
      <c r="J55" s="5">
        <f t="shared" si="7"/>
        <v>474.41740727864033</v>
      </c>
      <c r="K55" s="22"/>
      <c r="L55" s="22"/>
      <c r="M55" s="1">
        <v>43924</v>
      </c>
      <c r="N55" s="2">
        <v>0.15625</v>
      </c>
      <c r="O55" s="22">
        <v>0</v>
      </c>
      <c r="P55" s="22">
        <v>0.76</v>
      </c>
      <c r="Q55" s="22">
        <v>12.975</v>
      </c>
      <c r="R55" s="3">
        <f t="shared" si="2"/>
        <v>0.25429600000000002</v>
      </c>
      <c r="S55" s="3">
        <f t="shared" si="3"/>
        <v>20.329914769122631</v>
      </c>
      <c r="T55" s="22" t="s">
        <v>638</v>
      </c>
      <c r="U55" s="22">
        <f t="shared" si="8"/>
        <v>14.999999999999988</v>
      </c>
      <c r="V55" s="5">
        <f t="shared" si="9"/>
        <v>304.94872153683923</v>
      </c>
      <c r="W55" s="22"/>
      <c r="X55" s="22"/>
      <c r="Y55" s="1">
        <v>43924</v>
      </c>
      <c r="Z55" s="2">
        <v>0.15625</v>
      </c>
      <c r="AA55" s="22">
        <v>0</v>
      </c>
      <c r="AB55" s="22">
        <v>1.359</v>
      </c>
      <c r="AC55" s="22">
        <v>13.512</v>
      </c>
      <c r="AD55" s="3">
        <f t="shared" si="4"/>
        <v>0.4547214</v>
      </c>
      <c r="AE55" s="4">
        <f t="shared" si="5"/>
        <v>87.544719967365452</v>
      </c>
      <c r="AF55" s="22" t="s">
        <v>639</v>
      </c>
      <c r="AG55" s="22">
        <f t="shared" si="10"/>
        <v>14.999999999999988</v>
      </c>
      <c r="AH55" s="5">
        <f t="shared" si="11"/>
        <v>1313.1707995104807</v>
      </c>
    </row>
    <row r="56" spans="1:34">
      <c r="A56" s="1">
        <v>43924</v>
      </c>
      <c r="B56" s="2">
        <v>0.16666666666666666</v>
      </c>
      <c r="C56" s="22">
        <v>0</v>
      </c>
      <c r="D56" s="22">
        <v>0.90500000000000003</v>
      </c>
      <c r="E56" s="22">
        <v>11.896000000000001</v>
      </c>
      <c r="F56" s="3">
        <f t="shared" si="0"/>
        <v>0.302813</v>
      </c>
      <c r="G56" s="3">
        <f t="shared" si="1"/>
        <v>31.89993691313386</v>
      </c>
      <c r="H56" s="22" t="s">
        <v>637</v>
      </c>
      <c r="I56" s="22">
        <f t="shared" si="6"/>
        <v>15.000000000000027</v>
      </c>
      <c r="J56" s="5">
        <f t="shared" si="7"/>
        <v>478.49905369700878</v>
      </c>
      <c r="K56" s="22"/>
      <c r="L56" s="22"/>
      <c r="M56" s="1">
        <v>43924</v>
      </c>
      <c r="N56" s="2">
        <v>0.16666666666666666</v>
      </c>
      <c r="O56" s="22">
        <v>0</v>
      </c>
      <c r="P56" s="22">
        <v>0.76300000000000001</v>
      </c>
      <c r="Q56" s="22">
        <v>12.944000000000001</v>
      </c>
      <c r="R56" s="3">
        <f t="shared" si="2"/>
        <v>0.25529980000000002</v>
      </c>
      <c r="S56" s="3">
        <f t="shared" si="3"/>
        <v>20.53760504442295</v>
      </c>
      <c r="T56" s="22" t="s">
        <v>638</v>
      </c>
      <c r="U56" s="22">
        <f t="shared" si="8"/>
        <v>15.000000000000027</v>
      </c>
      <c r="V56" s="5">
        <f t="shared" si="9"/>
        <v>308.06407566634482</v>
      </c>
      <c r="W56" s="22"/>
      <c r="X56" s="22"/>
      <c r="Y56" s="1">
        <v>43924</v>
      </c>
      <c r="Z56" s="2">
        <v>0.16666666666666666</v>
      </c>
      <c r="AA56" s="22">
        <v>0</v>
      </c>
      <c r="AB56" s="22">
        <v>1.351</v>
      </c>
      <c r="AC56" s="22">
        <v>13.454000000000001</v>
      </c>
      <c r="AD56" s="3">
        <f t="shared" si="4"/>
        <v>0.45204460000000002</v>
      </c>
      <c r="AE56" s="4">
        <f t="shared" si="5"/>
        <v>86.195849577975338</v>
      </c>
      <c r="AF56" s="22" t="s">
        <v>639</v>
      </c>
      <c r="AG56" s="22">
        <f t="shared" si="10"/>
        <v>15.000000000000027</v>
      </c>
      <c r="AH56" s="5">
        <f t="shared" si="11"/>
        <v>1292.9377436696323</v>
      </c>
    </row>
    <row r="57" spans="1:34">
      <c r="A57" s="1">
        <v>43924</v>
      </c>
      <c r="B57" s="2">
        <v>0.17708333333333334</v>
      </c>
      <c r="C57" s="22">
        <v>0</v>
      </c>
      <c r="D57" s="22">
        <v>0.90800000000000003</v>
      </c>
      <c r="E57" s="22">
        <v>11.821</v>
      </c>
      <c r="F57" s="3">
        <f t="shared" si="0"/>
        <v>0.3038168</v>
      </c>
      <c r="G57" s="3">
        <f t="shared" si="1"/>
        <v>32.173475607375572</v>
      </c>
      <c r="H57" s="22" t="s">
        <v>637</v>
      </c>
      <c r="I57" s="22">
        <f t="shared" si="6"/>
        <v>14.999999999999988</v>
      </c>
      <c r="J57" s="5">
        <f t="shared" si="7"/>
        <v>482.60213411063319</v>
      </c>
      <c r="K57" s="22"/>
      <c r="L57" s="22"/>
      <c r="M57" s="1">
        <v>43924</v>
      </c>
      <c r="N57" s="2">
        <v>0.17708333333333334</v>
      </c>
      <c r="O57" s="22">
        <v>0</v>
      </c>
      <c r="P57" s="22">
        <v>0.76300000000000001</v>
      </c>
      <c r="Q57" s="22">
        <v>12.898999999999999</v>
      </c>
      <c r="R57" s="3">
        <f t="shared" si="2"/>
        <v>0.25529980000000002</v>
      </c>
      <c r="S57" s="3">
        <f t="shared" si="3"/>
        <v>20.53760504442295</v>
      </c>
      <c r="T57" s="22" t="s">
        <v>638</v>
      </c>
      <c r="U57" s="22">
        <f t="shared" si="8"/>
        <v>14.999999999999988</v>
      </c>
      <c r="V57" s="5">
        <f t="shared" si="9"/>
        <v>308.06407566634397</v>
      </c>
      <c r="W57" s="22"/>
      <c r="X57" s="22"/>
      <c r="Y57" s="1">
        <v>43924</v>
      </c>
      <c r="Z57" s="2">
        <v>0.17708333333333334</v>
      </c>
      <c r="AA57" s="22">
        <v>0</v>
      </c>
      <c r="AB57" s="22">
        <v>1.357</v>
      </c>
      <c r="AC57" s="22">
        <v>13.413</v>
      </c>
      <c r="AD57" s="3">
        <f t="shared" si="4"/>
        <v>0.45405220000000002</v>
      </c>
      <c r="AE57" s="4">
        <f t="shared" si="5"/>
        <v>87.206285025095923</v>
      </c>
      <c r="AF57" s="22" t="s">
        <v>639</v>
      </c>
      <c r="AG57" s="22">
        <f t="shared" si="10"/>
        <v>14.999999999999988</v>
      </c>
      <c r="AH57" s="5">
        <f t="shared" si="11"/>
        <v>1308.0942753764377</v>
      </c>
    </row>
    <row r="58" spans="1:34">
      <c r="A58" s="1">
        <v>43924</v>
      </c>
      <c r="B58" s="2">
        <v>0.1875</v>
      </c>
      <c r="C58" s="22">
        <v>0</v>
      </c>
      <c r="D58" s="22">
        <v>0.85099999999999998</v>
      </c>
      <c r="E58" s="22">
        <v>11.759</v>
      </c>
      <c r="F58" s="3">
        <f t="shared" si="0"/>
        <v>0.28474460000000001</v>
      </c>
      <c r="G58" s="3">
        <f t="shared" si="1"/>
        <v>27.217908819294959</v>
      </c>
      <c r="H58" s="22" t="s">
        <v>637</v>
      </c>
      <c r="I58" s="22">
        <f t="shared" si="6"/>
        <v>14.999999999999988</v>
      </c>
      <c r="J58" s="5">
        <f t="shared" si="7"/>
        <v>408.26863228942403</v>
      </c>
      <c r="K58" s="22"/>
      <c r="L58" s="22"/>
      <c r="M58" s="1">
        <v>43924</v>
      </c>
      <c r="N58" s="2">
        <v>0.1875</v>
      </c>
      <c r="O58" s="22">
        <v>0</v>
      </c>
      <c r="P58" s="22">
        <v>0.70499999999999996</v>
      </c>
      <c r="Q58" s="22">
        <v>12.817</v>
      </c>
      <c r="R58" s="3">
        <f t="shared" si="2"/>
        <v>0.23589299999999999</v>
      </c>
      <c r="S58" s="3">
        <f t="shared" si="3"/>
        <v>16.748056281699725</v>
      </c>
      <c r="T58" s="22" t="s">
        <v>638</v>
      </c>
      <c r="U58" s="22">
        <f t="shared" si="8"/>
        <v>14.999999999999988</v>
      </c>
      <c r="V58" s="5">
        <f t="shared" si="9"/>
        <v>251.22084422549565</v>
      </c>
      <c r="W58" s="22"/>
      <c r="X58" s="22"/>
      <c r="Y58" s="1">
        <v>43924</v>
      </c>
      <c r="Z58" s="2">
        <v>0.1875</v>
      </c>
      <c r="AA58" s="22">
        <v>0</v>
      </c>
      <c r="AB58" s="22">
        <v>1.294</v>
      </c>
      <c r="AC58" s="22">
        <v>13.36</v>
      </c>
      <c r="AD58" s="3">
        <f t="shared" si="4"/>
        <v>0.43297240000000004</v>
      </c>
      <c r="AE58" s="4">
        <f t="shared" si="5"/>
        <v>76.957319682281081</v>
      </c>
      <c r="AF58" s="22" t="s">
        <v>639</v>
      </c>
      <c r="AG58" s="22">
        <f t="shared" si="10"/>
        <v>14.999999999999988</v>
      </c>
      <c r="AH58" s="5">
        <f t="shared" si="11"/>
        <v>1154.3597952342152</v>
      </c>
    </row>
    <row r="59" spans="1:34">
      <c r="A59" s="1">
        <v>43924</v>
      </c>
      <c r="B59" s="2">
        <v>0.19791666666666666</v>
      </c>
      <c r="C59" s="22">
        <v>0</v>
      </c>
      <c r="D59" s="22">
        <v>0.84399999999999997</v>
      </c>
      <c r="E59" s="22">
        <v>11.689</v>
      </c>
      <c r="F59" s="3">
        <f t="shared" si="0"/>
        <v>0.2824024</v>
      </c>
      <c r="G59" s="3">
        <f t="shared" si="1"/>
        <v>26.64403540736739</v>
      </c>
      <c r="H59" s="22" t="s">
        <v>637</v>
      </c>
      <c r="I59" s="22">
        <f t="shared" si="6"/>
        <v>15.000000000000027</v>
      </c>
      <c r="J59" s="5">
        <f t="shared" si="7"/>
        <v>399.66053111051156</v>
      </c>
      <c r="K59" s="22"/>
      <c r="L59" s="22"/>
      <c r="M59" s="1">
        <v>43924</v>
      </c>
      <c r="N59" s="2">
        <v>0.19791666666666666</v>
      </c>
      <c r="O59" s="22">
        <v>0</v>
      </c>
      <c r="P59" s="22">
        <v>0.70299999999999996</v>
      </c>
      <c r="Q59" s="22">
        <v>12.752000000000001</v>
      </c>
      <c r="R59" s="3">
        <f t="shared" si="2"/>
        <v>0.23522379999999998</v>
      </c>
      <c r="S59" s="3">
        <f t="shared" si="3"/>
        <v>16.625749334363526</v>
      </c>
      <c r="T59" s="22" t="s">
        <v>638</v>
      </c>
      <c r="U59" s="22">
        <f t="shared" si="8"/>
        <v>15.000000000000027</v>
      </c>
      <c r="V59" s="5">
        <f t="shared" si="9"/>
        <v>249.38624001545332</v>
      </c>
      <c r="W59" s="22"/>
      <c r="X59" s="22"/>
      <c r="Y59" s="1">
        <v>43924</v>
      </c>
      <c r="Z59" s="2">
        <v>0.19791666666666666</v>
      </c>
      <c r="AA59" s="22">
        <v>0</v>
      </c>
      <c r="AB59" s="22">
        <v>1.292</v>
      </c>
      <c r="AC59" s="22">
        <v>13.298</v>
      </c>
      <c r="AD59" s="3">
        <f t="shared" si="4"/>
        <v>0.4323032</v>
      </c>
      <c r="AE59" s="4">
        <f t="shared" si="5"/>
        <v>76.644888644904071</v>
      </c>
      <c r="AF59" s="22" t="s">
        <v>639</v>
      </c>
      <c r="AG59" s="22">
        <f t="shared" si="10"/>
        <v>15.000000000000027</v>
      </c>
      <c r="AH59" s="5">
        <f t="shared" si="11"/>
        <v>1149.6733296735631</v>
      </c>
    </row>
    <row r="60" spans="1:34">
      <c r="A60" s="1">
        <v>43924</v>
      </c>
      <c r="B60" s="2">
        <v>0.20833333333333334</v>
      </c>
      <c r="C60" s="22">
        <v>0</v>
      </c>
      <c r="D60" s="22">
        <v>0.85099999999999998</v>
      </c>
      <c r="E60" s="22">
        <v>11.612</v>
      </c>
      <c r="F60" s="3">
        <f t="shared" si="0"/>
        <v>0.28474460000000001</v>
      </c>
      <c r="G60" s="3">
        <f t="shared" si="1"/>
        <v>27.217908819294959</v>
      </c>
      <c r="H60" s="22" t="s">
        <v>637</v>
      </c>
      <c r="I60" s="22">
        <f t="shared" si="6"/>
        <v>14.999999999999988</v>
      </c>
      <c r="J60" s="5">
        <f t="shared" si="7"/>
        <v>408.26863228942403</v>
      </c>
      <c r="K60" s="22"/>
      <c r="L60" s="22"/>
      <c r="M60" s="1">
        <v>43924</v>
      </c>
      <c r="N60" s="2">
        <v>0.20833333333333334</v>
      </c>
      <c r="O60" s="22">
        <v>0</v>
      </c>
      <c r="P60" s="22">
        <v>0.71099999999999997</v>
      </c>
      <c r="Q60" s="22">
        <v>12.709</v>
      </c>
      <c r="R60" s="3">
        <f t="shared" si="2"/>
        <v>0.23790059999999999</v>
      </c>
      <c r="S60" s="3">
        <f t="shared" si="3"/>
        <v>17.118277396549274</v>
      </c>
      <c r="T60" s="22" t="s">
        <v>638</v>
      </c>
      <c r="U60" s="22">
        <f t="shared" si="8"/>
        <v>14.999999999999988</v>
      </c>
      <c r="V60" s="5">
        <f t="shared" si="9"/>
        <v>256.77416094823889</v>
      </c>
      <c r="W60" s="22"/>
      <c r="X60" s="22"/>
      <c r="Y60" s="1">
        <v>43924</v>
      </c>
      <c r="Z60" s="2">
        <v>0.20833333333333334</v>
      </c>
      <c r="AA60" s="22">
        <v>0</v>
      </c>
      <c r="AB60" s="22">
        <v>1.306</v>
      </c>
      <c r="AC60" s="22">
        <v>13.226000000000001</v>
      </c>
      <c r="AD60" s="3">
        <f t="shared" si="4"/>
        <v>0.43698760000000003</v>
      </c>
      <c r="AE60" s="4">
        <f t="shared" si="5"/>
        <v>78.848482971216754</v>
      </c>
      <c r="AF60" s="22" t="s">
        <v>639</v>
      </c>
      <c r="AG60" s="22">
        <f t="shared" si="10"/>
        <v>14.999999999999988</v>
      </c>
      <c r="AH60" s="5">
        <f t="shared" si="11"/>
        <v>1182.7272445682504</v>
      </c>
    </row>
    <row r="61" spans="1:34">
      <c r="A61" s="1">
        <v>43924</v>
      </c>
      <c r="B61" s="2">
        <v>0.21875</v>
      </c>
      <c r="C61" s="22">
        <v>0</v>
      </c>
      <c r="D61" s="22">
        <v>0.877</v>
      </c>
      <c r="E61" s="22">
        <v>11.55</v>
      </c>
      <c r="F61" s="3">
        <f t="shared" si="0"/>
        <v>0.29344419999999999</v>
      </c>
      <c r="G61" s="3">
        <f t="shared" si="1"/>
        <v>29.415446211348332</v>
      </c>
      <c r="H61" s="22" t="s">
        <v>637</v>
      </c>
      <c r="I61" s="22">
        <f t="shared" si="6"/>
        <v>14.999999999999988</v>
      </c>
      <c r="J61" s="5">
        <f t="shared" si="7"/>
        <v>441.23169317022462</v>
      </c>
      <c r="K61" s="22"/>
      <c r="L61" s="22"/>
      <c r="M61" s="1">
        <v>43924</v>
      </c>
      <c r="N61" s="2">
        <v>0.21875</v>
      </c>
      <c r="O61" s="22">
        <v>0</v>
      </c>
      <c r="P61" s="22">
        <v>0.73599999999999999</v>
      </c>
      <c r="Q61" s="22">
        <v>12.737</v>
      </c>
      <c r="R61" s="3">
        <f t="shared" si="2"/>
        <v>0.2462656</v>
      </c>
      <c r="S61" s="3">
        <f t="shared" si="3"/>
        <v>18.714630239465794</v>
      </c>
      <c r="T61" s="22" t="s">
        <v>638</v>
      </c>
      <c r="U61" s="22">
        <f t="shared" si="8"/>
        <v>14.999999999999988</v>
      </c>
      <c r="V61" s="5">
        <f t="shared" si="9"/>
        <v>280.71945359198668</v>
      </c>
      <c r="W61" s="22"/>
      <c r="X61" s="22"/>
      <c r="Y61" s="1">
        <v>43924</v>
      </c>
      <c r="Z61" s="2">
        <v>0.21875</v>
      </c>
      <c r="AA61" s="22">
        <v>0</v>
      </c>
      <c r="AB61" s="22">
        <v>1.3220000000000001</v>
      </c>
      <c r="AC61" s="22">
        <v>13.161</v>
      </c>
      <c r="AD61" s="3">
        <f t="shared" si="4"/>
        <v>0.44234120000000005</v>
      </c>
      <c r="AE61" s="4">
        <f t="shared" si="5"/>
        <v>81.414453820687413</v>
      </c>
      <c r="AF61" s="22" t="s">
        <v>639</v>
      </c>
      <c r="AG61" s="22">
        <f t="shared" si="10"/>
        <v>14.999999999999988</v>
      </c>
      <c r="AH61" s="5">
        <f t="shared" si="11"/>
        <v>1221.2168073103103</v>
      </c>
    </row>
    <row r="62" spans="1:34">
      <c r="A62" s="1">
        <v>43924</v>
      </c>
      <c r="B62" s="2">
        <v>0.22916666666666666</v>
      </c>
      <c r="C62" s="22">
        <v>0</v>
      </c>
      <c r="D62" s="22">
        <v>0.84099999999999997</v>
      </c>
      <c r="E62" s="22">
        <v>11.487</v>
      </c>
      <c r="F62" s="3">
        <f t="shared" si="0"/>
        <v>0.2813986</v>
      </c>
      <c r="G62" s="3">
        <f t="shared" si="1"/>
        <v>26.400378842091527</v>
      </c>
      <c r="H62" s="22" t="s">
        <v>637</v>
      </c>
      <c r="I62" s="22">
        <f t="shared" si="6"/>
        <v>15.000000000000027</v>
      </c>
      <c r="J62" s="5">
        <f t="shared" si="7"/>
        <v>396.00568263137359</v>
      </c>
      <c r="K62" s="22"/>
      <c r="L62" s="22"/>
      <c r="M62" s="1">
        <v>43924</v>
      </c>
      <c r="N62" s="2">
        <v>0.22916666666666666</v>
      </c>
      <c r="O62" s="22">
        <v>0</v>
      </c>
      <c r="P62" s="22">
        <v>0.69899999999999995</v>
      </c>
      <c r="Q62" s="22">
        <v>12.734</v>
      </c>
      <c r="R62" s="3">
        <f t="shared" si="2"/>
        <v>0.23388539999999999</v>
      </c>
      <c r="S62" s="3">
        <f t="shared" si="3"/>
        <v>16.382780150190513</v>
      </c>
      <c r="T62" s="22" t="s">
        <v>638</v>
      </c>
      <c r="U62" s="22">
        <f t="shared" si="8"/>
        <v>15.000000000000027</v>
      </c>
      <c r="V62" s="5">
        <f t="shared" si="9"/>
        <v>245.74170225285812</v>
      </c>
      <c r="W62" s="22"/>
      <c r="X62" s="22"/>
      <c r="Y62" s="1">
        <v>43924</v>
      </c>
      <c r="Z62" s="2">
        <v>0.22916666666666666</v>
      </c>
      <c r="AA62" s="22">
        <v>0</v>
      </c>
      <c r="AB62" s="22">
        <v>1.292</v>
      </c>
      <c r="AC62" s="22">
        <v>13.095000000000001</v>
      </c>
      <c r="AD62" s="3">
        <f t="shared" si="4"/>
        <v>0.4323032</v>
      </c>
      <c r="AE62" s="4">
        <f t="shared" si="5"/>
        <v>76.644888644904071</v>
      </c>
      <c r="AF62" s="22" t="s">
        <v>639</v>
      </c>
      <c r="AG62" s="22">
        <f t="shared" si="10"/>
        <v>15.000000000000027</v>
      </c>
      <c r="AH62" s="5">
        <f t="shared" si="11"/>
        <v>1149.6733296735631</v>
      </c>
    </row>
    <row r="63" spans="1:34">
      <c r="A63" s="1">
        <v>43924</v>
      </c>
      <c r="B63" s="2">
        <v>0.23958333333333334</v>
      </c>
      <c r="C63" s="22">
        <v>0</v>
      </c>
      <c r="D63" s="22">
        <v>0.86199999999999999</v>
      </c>
      <c r="E63" s="22">
        <v>11.419</v>
      </c>
      <c r="F63" s="3">
        <f t="shared" si="0"/>
        <v>0.28842519999999999</v>
      </c>
      <c r="G63" s="3">
        <f t="shared" si="1"/>
        <v>28.134890915904471</v>
      </c>
      <c r="H63" s="22" t="s">
        <v>637</v>
      </c>
      <c r="I63" s="22">
        <f t="shared" si="6"/>
        <v>14.999999999999988</v>
      </c>
      <c r="J63" s="5">
        <f t="shared" si="7"/>
        <v>422.02336373856673</v>
      </c>
      <c r="K63" s="22"/>
      <c r="L63" s="22"/>
      <c r="M63" s="1">
        <v>43924</v>
      </c>
      <c r="N63" s="2">
        <v>0.23958333333333334</v>
      </c>
      <c r="O63" s="22">
        <v>0</v>
      </c>
      <c r="P63" s="22">
        <v>0.71699999999999997</v>
      </c>
      <c r="Q63" s="22">
        <v>12.718999999999999</v>
      </c>
      <c r="R63" s="3">
        <f t="shared" si="2"/>
        <v>0.23990819999999999</v>
      </c>
      <c r="S63" s="3">
        <f t="shared" si="3"/>
        <v>17.493467860691169</v>
      </c>
      <c r="T63" s="22" t="s">
        <v>638</v>
      </c>
      <c r="U63" s="22">
        <f t="shared" si="8"/>
        <v>14.999999999999988</v>
      </c>
      <c r="V63" s="5">
        <f t="shared" si="9"/>
        <v>262.40201791036731</v>
      </c>
      <c r="W63" s="22"/>
      <c r="X63" s="22"/>
      <c r="Y63" s="1">
        <v>43924</v>
      </c>
      <c r="Z63" s="2">
        <v>0.23958333333333334</v>
      </c>
      <c r="AA63" s="22">
        <v>0</v>
      </c>
      <c r="AB63" s="22">
        <v>1.306</v>
      </c>
      <c r="AC63" s="22">
        <v>13.016</v>
      </c>
      <c r="AD63" s="3">
        <f t="shared" si="4"/>
        <v>0.43698760000000003</v>
      </c>
      <c r="AE63" s="4">
        <f t="shared" si="5"/>
        <v>78.848482971216754</v>
      </c>
      <c r="AF63" s="22" t="s">
        <v>639</v>
      </c>
      <c r="AG63" s="22">
        <f t="shared" si="10"/>
        <v>14.999999999999988</v>
      </c>
      <c r="AH63" s="5">
        <f t="shared" si="11"/>
        <v>1182.7272445682504</v>
      </c>
    </row>
    <row r="64" spans="1:34">
      <c r="A64" s="1">
        <v>43924</v>
      </c>
      <c r="B64" s="2">
        <v>0.25</v>
      </c>
      <c r="C64" s="22">
        <v>0</v>
      </c>
      <c r="D64" s="22">
        <v>0.88800000000000001</v>
      </c>
      <c r="E64" s="22">
        <v>11.355</v>
      </c>
      <c r="F64" s="3">
        <f t="shared" si="0"/>
        <v>0.29712480000000002</v>
      </c>
      <c r="G64" s="3">
        <f t="shared" si="1"/>
        <v>30.376794384967972</v>
      </c>
      <c r="H64" s="22" t="s">
        <v>637</v>
      </c>
      <c r="I64" s="22">
        <f t="shared" si="6"/>
        <v>15.000000000000027</v>
      </c>
      <c r="J64" s="5">
        <f t="shared" si="7"/>
        <v>455.65191577452038</v>
      </c>
      <c r="K64" s="22"/>
      <c r="L64" s="22"/>
      <c r="M64" s="1">
        <v>43924</v>
      </c>
      <c r="N64" s="2">
        <v>0.25</v>
      </c>
      <c r="O64" s="22">
        <v>0</v>
      </c>
      <c r="P64" s="22">
        <v>0.745</v>
      </c>
      <c r="Q64" s="22">
        <v>12.701000000000001</v>
      </c>
      <c r="R64" s="3">
        <f t="shared" si="2"/>
        <v>0.249277</v>
      </c>
      <c r="S64" s="3">
        <f t="shared" si="3"/>
        <v>19.310773658621084</v>
      </c>
      <c r="T64" s="22" t="s">
        <v>638</v>
      </c>
      <c r="U64" s="22">
        <f t="shared" si="8"/>
        <v>15.000000000000027</v>
      </c>
      <c r="V64" s="5">
        <f t="shared" si="9"/>
        <v>289.66160487931677</v>
      </c>
      <c r="W64" s="22"/>
      <c r="X64" s="22"/>
      <c r="Y64" s="1">
        <v>43924</v>
      </c>
      <c r="Z64" s="2">
        <v>0.25</v>
      </c>
      <c r="AA64" s="22">
        <v>0</v>
      </c>
      <c r="AB64" s="22">
        <v>1.3380000000000001</v>
      </c>
      <c r="AC64" s="22">
        <v>12.968</v>
      </c>
      <c r="AD64" s="3">
        <f t="shared" si="4"/>
        <v>0.44769480000000006</v>
      </c>
      <c r="AE64" s="4">
        <f t="shared" si="5"/>
        <v>84.031548182773463</v>
      </c>
      <c r="AF64" s="22" t="s">
        <v>639</v>
      </c>
      <c r="AG64" s="22">
        <f t="shared" si="10"/>
        <v>15.000000000000027</v>
      </c>
      <c r="AH64" s="5">
        <f t="shared" si="11"/>
        <v>1260.4732227416041</v>
      </c>
    </row>
    <row r="65" spans="1:34">
      <c r="A65" s="1">
        <v>43924</v>
      </c>
      <c r="B65" s="2">
        <v>0.26041666666666669</v>
      </c>
      <c r="C65" s="22">
        <v>0</v>
      </c>
      <c r="D65" s="22">
        <v>0.90300000000000002</v>
      </c>
      <c r="E65" s="22">
        <v>11.3</v>
      </c>
      <c r="F65" s="3">
        <f t="shared" si="0"/>
        <v>0.30214380000000002</v>
      </c>
      <c r="G65" s="3">
        <f t="shared" si="1"/>
        <v>31.718371804944049</v>
      </c>
      <c r="H65" s="22" t="s">
        <v>637</v>
      </c>
      <c r="I65" s="22">
        <f t="shared" si="6"/>
        <v>14.999999999999947</v>
      </c>
      <c r="J65" s="5">
        <f t="shared" si="7"/>
        <v>475.77557707415906</v>
      </c>
      <c r="K65" s="22"/>
      <c r="L65" s="22"/>
      <c r="M65" s="1">
        <v>43924</v>
      </c>
      <c r="N65" s="2">
        <v>0.26041666666666669</v>
      </c>
      <c r="O65" s="22">
        <v>0</v>
      </c>
      <c r="P65" s="22">
        <v>0.75900000000000001</v>
      </c>
      <c r="Q65" s="22">
        <v>12.657999999999999</v>
      </c>
      <c r="R65" s="3">
        <f t="shared" si="2"/>
        <v>0.2539614</v>
      </c>
      <c r="S65" s="3">
        <f t="shared" si="3"/>
        <v>20.260971779182672</v>
      </c>
      <c r="T65" s="22" t="s">
        <v>638</v>
      </c>
      <c r="U65" s="22">
        <f t="shared" si="8"/>
        <v>14.999999999999947</v>
      </c>
      <c r="V65" s="5">
        <f t="shared" si="9"/>
        <v>303.91457668773899</v>
      </c>
      <c r="W65" s="22"/>
      <c r="X65" s="22"/>
      <c r="Y65" s="1">
        <v>43924</v>
      </c>
      <c r="Z65" s="2">
        <v>0.26041666666666669</v>
      </c>
      <c r="AA65" s="22">
        <v>0</v>
      </c>
      <c r="AB65" s="22">
        <v>1.339</v>
      </c>
      <c r="AC65" s="22">
        <v>12.916</v>
      </c>
      <c r="AD65" s="3">
        <f t="shared" si="4"/>
        <v>0.44802940000000002</v>
      </c>
      <c r="AE65" s="4">
        <f t="shared" si="5"/>
        <v>84.196822928479548</v>
      </c>
      <c r="AF65" s="22" t="s">
        <v>639</v>
      </c>
      <c r="AG65" s="22">
        <f t="shared" si="10"/>
        <v>14.999999999999947</v>
      </c>
      <c r="AH65" s="5">
        <f t="shared" si="11"/>
        <v>1262.9523439271888</v>
      </c>
    </row>
    <row r="66" spans="1:34">
      <c r="A66" s="1">
        <v>43924</v>
      </c>
      <c r="B66" s="2">
        <v>0.27083333333333331</v>
      </c>
      <c r="C66" s="22">
        <v>0</v>
      </c>
      <c r="D66" s="22">
        <v>0.85099999999999998</v>
      </c>
      <c r="E66" s="22">
        <v>11.244999999999999</v>
      </c>
      <c r="F66" s="3">
        <f t="shared" ref="F66:F98" si="12">D66*0.3346</f>
        <v>0.28474460000000001</v>
      </c>
      <c r="G66" s="3">
        <f t="shared" ref="G66:G98" si="13">695.6*(F66^2.58)</f>
        <v>27.217908819294959</v>
      </c>
      <c r="H66" s="22" t="s">
        <v>637</v>
      </c>
      <c r="I66" s="22">
        <f t="shared" si="6"/>
        <v>15.000000000000027</v>
      </c>
      <c r="J66" s="5">
        <f t="shared" si="7"/>
        <v>408.26863228942511</v>
      </c>
      <c r="K66" s="22"/>
      <c r="L66" s="22"/>
      <c r="M66" s="1">
        <v>43924</v>
      </c>
      <c r="N66" s="2">
        <v>0.27083333333333331</v>
      </c>
      <c r="O66" s="22">
        <v>0</v>
      </c>
      <c r="P66" s="22">
        <v>0.71099999999999997</v>
      </c>
      <c r="Q66" s="22">
        <v>12.615</v>
      </c>
      <c r="R66" s="3">
        <f t="shared" ref="R66:R98" si="14">P66*0.3346</f>
        <v>0.23790059999999999</v>
      </c>
      <c r="S66" s="3">
        <f t="shared" ref="S66:S98" si="15">695.6*(R66^2.58)</f>
        <v>17.118277396549274</v>
      </c>
      <c r="T66" s="22" t="s">
        <v>638</v>
      </c>
      <c r="U66" s="22">
        <f t="shared" si="8"/>
        <v>15.000000000000027</v>
      </c>
      <c r="V66" s="5">
        <f t="shared" si="9"/>
        <v>256.77416094823957</v>
      </c>
      <c r="W66" s="22"/>
      <c r="X66" s="22"/>
      <c r="Y66" s="1">
        <v>43924</v>
      </c>
      <c r="Z66" s="2">
        <v>0.27083333333333331</v>
      </c>
      <c r="AA66" s="22">
        <v>0</v>
      </c>
      <c r="AB66" s="22">
        <v>1.29</v>
      </c>
      <c r="AC66" s="22">
        <v>12.875999999999999</v>
      </c>
      <c r="AD66" s="3">
        <f t="shared" ref="AD66:AD98" si="16">AB66*0.3346</f>
        <v>0.43163400000000002</v>
      </c>
      <c r="AE66" s="4">
        <f t="shared" ref="AE66:AE98" si="17">695.6*(AD66^2.63)</f>
        <v>76.333244946037595</v>
      </c>
      <c r="AF66" s="22" t="s">
        <v>639</v>
      </c>
      <c r="AG66" s="22">
        <f t="shared" si="10"/>
        <v>15.000000000000027</v>
      </c>
      <c r="AH66" s="5">
        <f t="shared" si="11"/>
        <v>1144.9986741905659</v>
      </c>
    </row>
    <row r="67" spans="1:34">
      <c r="A67" s="1">
        <v>43924</v>
      </c>
      <c r="B67" s="2">
        <v>0.28125</v>
      </c>
      <c r="C67" s="22">
        <v>0</v>
      </c>
      <c r="D67" s="22">
        <v>0.85499999999999998</v>
      </c>
      <c r="E67" s="22">
        <v>11.195</v>
      </c>
      <c r="F67" s="3">
        <f t="shared" si="12"/>
        <v>0.28608299999999998</v>
      </c>
      <c r="G67" s="3">
        <f t="shared" si="13"/>
        <v>27.549204688609265</v>
      </c>
      <c r="H67" s="22" t="s">
        <v>637</v>
      </c>
      <c r="I67" s="22">
        <f t="shared" ref="I67:I97" si="18">CONVERT((B68-B67),"day","mn")</f>
        <v>15.000000000000027</v>
      </c>
      <c r="J67" s="5">
        <f t="shared" ref="J67:J98" si="19">G67*I67</f>
        <v>413.2380703291397</v>
      </c>
      <c r="K67" s="22"/>
      <c r="L67" s="22"/>
      <c r="M67" s="1">
        <v>43924</v>
      </c>
      <c r="N67" s="2">
        <v>0.28125</v>
      </c>
      <c r="O67" s="22">
        <v>0</v>
      </c>
      <c r="P67" s="22">
        <v>0.71399999999999997</v>
      </c>
      <c r="Q67" s="22">
        <v>12.579000000000001</v>
      </c>
      <c r="R67" s="3">
        <f t="shared" si="14"/>
        <v>0.23890439999999999</v>
      </c>
      <c r="S67" s="3">
        <f t="shared" si="15"/>
        <v>17.305249940466346</v>
      </c>
      <c r="T67" s="22" t="s">
        <v>638</v>
      </c>
      <c r="U67" s="22">
        <f t="shared" ref="U67:U97" si="20">CONVERT((N68-N67),"day","mn")</f>
        <v>15.000000000000027</v>
      </c>
      <c r="V67" s="5">
        <f t="shared" ref="V67:V98" si="21">S67*U67</f>
        <v>259.57874910699564</v>
      </c>
      <c r="W67" s="22"/>
      <c r="X67" s="22"/>
      <c r="Y67" s="1">
        <v>43924</v>
      </c>
      <c r="Z67" s="2">
        <v>0.28125</v>
      </c>
      <c r="AA67" s="22">
        <v>0</v>
      </c>
      <c r="AB67" s="22">
        <v>1.306</v>
      </c>
      <c r="AC67" s="22">
        <v>12.831</v>
      </c>
      <c r="AD67" s="3">
        <f t="shared" si="16"/>
        <v>0.43698760000000003</v>
      </c>
      <c r="AE67" s="4">
        <f t="shared" si="17"/>
        <v>78.848482971216754</v>
      </c>
      <c r="AF67" s="22" t="s">
        <v>639</v>
      </c>
      <c r="AG67" s="22">
        <f t="shared" ref="AG67:AG97" si="22">CONVERT((Z68-Z67),"day","mn")</f>
        <v>15.000000000000027</v>
      </c>
      <c r="AH67" s="5">
        <f t="shared" ref="AH67:AH98" si="23">AE67*AG67</f>
        <v>1182.7272445682534</v>
      </c>
    </row>
    <row r="68" spans="1:34">
      <c r="A68" s="1">
        <v>43924</v>
      </c>
      <c r="B68" s="2">
        <v>0.29166666666666669</v>
      </c>
      <c r="C68" s="22">
        <v>0</v>
      </c>
      <c r="D68" s="22">
        <v>0.85599999999999998</v>
      </c>
      <c r="E68" s="22">
        <v>11.148999999999999</v>
      </c>
      <c r="F68" s="3">
        <f t="shared" si="12"/>
        <v>0.28641759999999999</v>
      </c>
      <c r="G68" s="3">
        <f t="shared" si="13"/>
        <v>27.632412450459981</v>
      </c>
      <c r="H68" s="22" t="s">
        <v>637</v>
      </c>
      <c r="I68" s="22">
        <f t="shared" si="18"/>
        <v>14.999999999999947</v>
      </c>
      <c r="J68" s="5">
        <f t="shared" si="19"/>
        <v>414.48618675689823</v>
      </c>
      <c r="K68" s="22"/>
      <c r="L68" s="22"/>
      <c r="M68" s="1">
        <v>43924</v>
      </c>
      <c r="N68" s="2">
        <v>0.29166666666666669</v>
      </c>
      <c r="O68" s="22">
        <v>0</v>
      </c>
      <c r="P68" s="22">
        <v>0.71399999999999997</v>
      </c>
      <c r="Q68" s="22">
        <v>12.537000000000001</v>
      </c>
      <c r="R68" s="3">
        <f t="shared" si="14"/>
        <v>0.23890439999999999</v>
      </c>
      <c r="S68" s="3">
        <f t="shared" si="15"/>
        <v>17.305249940466346</v>
      </c>
      <c r="T68" s="22" t="s">
        <v>638</v>
      </c>
      <c r="U68" s="22">
        <f t="shared" si="20"/>
        <v>14.999999999999947</v>
      </c>
      <c r="V68" s="5">
        <f t="shared" si="21"/>
        <v>259.57874910699428</v>
      </c>
      <c r="W68" s="22"/>
      <c r="X68" s="22"/>
      <c r="Y68" s="1">
        <v>43924</v>
      </c>
      <c r="Z68" s="2">
        <v>0.29166666666666669</v>
      </c>
      <c r="AA68" s="22">
        <v>0</v>
      </c>
      <c r="AB68" s="22">
        <v>1.3069999999999999</v>
      </c>
      <c r="AC68" s="22">
        <v>12.802</v>
      </c>
      <c r="AD68" s="3">
        <f t="shared" si="16"/>
        <v>0.43732219999999999</v>
      </c>
      <c r="AE68" s="4">
        <f t="shared" si="17"/>
        <v>79.007365773464485</v>
      </c>
      <c r="AF68" s="22" t="s">
        <v>639</v>
      </c>
      <c r="AG68" s="22">
        <f t="shared" si="22"/>
        <v>14.999999999999947</v>
      </c>
      <c r="AH68" s="5">
        <f t="shared" si="23"/>
        <v>1185.110486601963</v>
      </c>
    </row>
    <row r="69" spans="1:34">
      <c r="A69" s="1">
        <v>43924</v>
      </c>
      <c r="B69" s="2">
        <v>0.30208333333333331</v>
      </c>
      <c r="C69" s="22">
        <v>0</v>
      </c>
      <c r="D69" s="22">
        <v>0.86599999999999999</v>
      </c>
      <c r="E69" s="22">
        <v>11.105</v>
      </c>
      <c r="F69" s="3">
        <f t="shared" si="12"/>
        <v>0.28976360000000001</v>
      </c>
      <c r="G69" s="3">
        <f t="shared" si="13"/>
        <v>28.47296217856891</v>
      </c>
      <c r="H69" s="22" t="s">
        <v>637</v>
      </c>
      <c r="I69" s="22">
        <f t="shared" si="18"/>
        <v>15.000000000000027</v>
      </c>
      <c r="J69" s="5">
        <f t="shared" si="19"/>
        <v>427.09443267853442</v>
      </c>
      <c r="K69" s="22"/>
      <c r="L69" s="22"/>
      <c r="M69" s="1">
        <v>43924</v>
      </c>
      <c r="N69" s="2">
        <v>0.30208333333333331</v>
      </c>
      <c r="O69" s="22">
        <v>0</v>
      </c>
      <c r="P69" s="22">
        <v>0.72499999999999998</v>
      </c>
      <c r="Q69" s="22">
        <v>12.507</v>
      </c>
      <c r="R69" s="3">
        <f t="shared" si="14"/>
        <v>0.242585</v>
      </c>
      <c r="S69" s="3">
        <f t="shared" si="15"/>
        <v>18.001493864476348</v>
      </c>
      <c r="T69" s="22" t="s">
        <v>638</v>
      </c>
      <c r="U69" s="22">
        <f t="shared" si="20"/>
        <v>15.000000000000027</v>
      </c>
      <c r="V69" s="5">
        <f t="shared" si="21"/>
        <v>270.02240796714568</v>
      </c>
      <c r="W69" s="22"/>
      <c r="X69" s="22"/>
      <c r="Y69" s="1">
        <v>43924</v>
      </c>
      <c r="Z69" s="2">
        <v>0.30208333333333331</v>
      </c>
      <c r="AA69" s="22">
        <v>0</v>
      </c>
      <c r="AB69" s="22">
        <v>1.3160000000000001</v>
      </c>
      <c r="AC69" s="22">
        <v>12.766</v>
      </c>
      <c r="AD69" s="3">
        <f t="shared" si="16"/>
        <v>0.44033360000000005</v>
      </c>
      <c r="AE69" s="4">
        <f t="shared" si="17"/>
        <v>80.446244661345062</v>
      </c>
      <c r="AF69" s="22" t="s">
        <v>639</v>
      </c>
      <c r="AG69" s="22">
        <f t="shared" si="22"/>
        <v>15.000000000000027</v>
      </c>
      <c r="AH69" s="5">
        <f t="shared" si="23"/>
        <v>1206.6936699201781</v>
      </c>
    </row>
    <row r="70" spans="1:34">
      <c r="A70" s="1">
        <v>43924</v>
      </c>
      <c r="B70" s="2">
        <v>0.3125</v>
      </c>
      <c r="C70" s="22">
        <v>0</v>
      </c>
      <c r="D70" s="22">
        <v>0.88100000000000001</v>
      </c>
      <c r="E70" s="22">
        <v>11.068</v>
      </c>
      <c r="F70" s="3">
        <f t="shared" si="12"/>
        <v>0.29478260000000001</v>
      </c>
      <c r="G70" s="3">
        <f t="shared" si="13"/>
        <v>29.762837523565619</v>
      </c>
      <c r="H70" s="22" t="s">
        <v>637</v>
      </c>
      <c r="I70" s="22">
        <f t="shared" si="18"/>
        <v>15.000000000000027</v>
      </c>
      <c r="J70" s="5">
        <f t="shared" si="19"/>
        <v>446.44256285348507</v>
      </c>
      <c r="K70" s="22"/>
      <c r="L70" s="22"/>
      <c r="M70" s="1">
        <v>43924</v>
      </c>
      <c r="N70" s="2">
        <v>0.3125</v>
      </c>
      <c r="O70" s="22">
        <v>0</v>
      </c>
      <c r="P70" s="22">
        <v>0.73399999999999999</v>
      </c>
      <c r="Q70" s="22">
        <v>12.455</v>
      </c>
      <c r="R70" s="3">
        <f t="shared" si="14"/>
        <v>0.24559639999999999</v>
      </c>
      <c r="S70" s="3">
        <f t="shared" si="15"/>
        <v>18.583705924570133</v>
      </c>
      <c r="T70" s="22" t="s">
        <v>638</v>
      </c>
      <c r="U70" s="22">
        <f t="shared" si="20"/>
        <v>15.000000000000027</v>
      </c>
      <c r="V70" s="5">
        <f t="shared" si="21"/>
        <v>278.75558886855248</v>
      </c>
      <c r="W70" s="22"/>
      <c r="X70" s="22"/>
      <c r="Y70" s="1">
        <v>43924</v>
      </c>
      <c r="Z70" s="2">
        <v>0.3125</v>
      </c>
      <c r="AA70" s="22">
        <v>0</v>
      </c>
      <c r="AB70" s="22">
        <v>1.3240000000000001</v>
      </c>
      <c r="AC70" s="22">
        <v>12.743</v>
      </c>
      <c r="AD70" s="3">
        <f t="shared" si="16"/>
        <v>0.44301040000000003</v>
      </c>
      <c r="AE70" s="4">
        <f t="shared" si="17"/>
        <v>81.738786805826606</v>
      </c>
      <c r="AF70" s="22" t="s">
        <v>639</v>
      </c>
      <c r="AG70" s="22">
        <f t="shared" si="22"/>
        <v>15.000000000000027</v>
      </c>
      <c r="AH70" s="5">
        <f t="shared" si="23"/>
        <v>1226.0818020874012</v>
      </c>
    </row>
    <row r="71" spans="1:34">
      <c r="A71" s="1">
        <v>43924</v>
      </c>
      <c r="B71" s="2">
        <v>0.32291666666666669</v>
      </c>
      <c r="C71" s="22">
        <v>0</v>
      </c>
      <c r="D71" s="22">
        <v>0.88500000000000001</v>
      </c>
      <c r="E71" s="22">
        <v>11.055999999999999</v>
      </c>
      <c r="F71" s="3">
        <f t="shared" si="12"/>
        <v>0.29612100000000002</v>
      </c>
      <c r="G71" s="3">
        <f t="shared" si="13"/>
        <v>30.112729866988726</v>
      </c>
      <c r="H71" s="22" t="s">
        <v>637</v>
      </c>
      <c r="I71" s="22">
        <f t="shared" si="18"/>
        <v>14.999999999999947</v>
      </c>
      <c r="J71" s="5">
        <f t="shared" si="19"/>
        <v>451.69094800482929</v>
      </c>
      <c r="K71" s="22"/>
      <c r="L71" s="22"/>
      <c r="M71" s="1">
        <v>43924</v>
      </c>
      <c r="N71" s="2">
        <v>0.32291666666666669</v>
      </c>
      <c r="O71" s="22">
        <v>0</v>
      </c>
      <c r="P71" s="22">
        <v>0.74399999999999999</v>
      </c>
      <c r="Q71" s="22">
        <v>12.456</v>
      </c>
      <c r="R71" s="3">
        <f t="shared" si="14"/>
        <v>0.24894240000000001</v>
      </c>
      <c r="S71" s="3">
        <f t="shared" si="15"/>
        <v>19.24396966052041</v>
      </c>
      <c r="T71" s="22" t="s">
        <v>638</v>
      </c>
      <c r="U71" s="22">
        <f t="shared" si="20"/>
        <v>14.999999999999947</v>
      </c>
      <c r="V71" s="5">
        <f t="shared" si="21"/>
        <v>288.65954490780513</v>
      </c>
      <c r="W71" s="22"/>
      <c r="X71" s="22"/>
      <c r="Y71" s="1">
        <v>43924</v>
      </c>
      <c r="Z71" s="2">
        <v>0.32291666666666669</v>
      </c>
      <c r="AA71" s="22">
        <v>0</v>
      </c>
      <c r="AB71" s="22">
        <v>1.3420000000000001</v>
      </c>
      <c r="AC71" s="22">
        <v>12.722</v>
      </c>
      <c r="AD71" s="3">
        <f t="shared" si="16"/>
        <v>0.44903320000000002</v>
      </c>
      <c r="AE71" s="4">
        <f t="shared" si="17"/>
        <v>84.693855439299242</v>
      </c>
      <c r="AF71" s="22" t="s">
        <v>639</v>
      </c>
      <c r="AG71" s="22">
        <f t="shared" si="22"/>
        <v>14.999999999999947</v>
      </c>
      <c r="AH71" s="5">
        <f t="shared" si="23"/>
        <v>1270.4078315894842</v>
      </c>
    </row>
    <row r="72" spans="1:34">
      <c r="A72" s="1">
        <v>43924</v>
      </c>
      <c r="B72" s="2">
        <v>0.33333333333333331</v>
      </c>
      <c r="C72" s="22">
        <v>0</v>
      </c>
      <c r="D72" s="22">
        <v>0.89600000000000002</v>
      </c>
      <c r="E72" s="22">
        <v>11.055999999999999</v>
      </c>
      <c r="F72" s="3">
        <f t="shared" si="12"/>
        <v>0.2998016</v>
      </c>
      <c r="G72" s="3">
        <f t="shared" si="13"/>
        <v>31.087883427635045</v>
      </c>
      <c r="H72" s="22" t="s">
        <v>637</v>
      </c>
      <c r="I72" s="22">
        <f t="shared" si="18"/>
        <v>15.000000000000027</v>
      </c>
      <c r="J72" s="5">
        <f t="shared" si="19"/>
        <v>466.31825141452651</v>
      </c>
      <c r="K72" s="22"/>
      <c r="L72" s="22"/>
      <c r="M72" s="1">
        <v>43924</v>
      </c>
      <c r="N72" s="2">
        <v>0.33333333333333331</v>
      </c>
      <c r="O72" s="22">
        <v>0</v>
      </c>
      <c r="P72" s="22">
        <v>0.752</v>
      </c>
      <c r="Q72" s="22">
        <v>12.500999999999999</v>
      </c>
      <c r="R72" s="3">
        <f t="shared" si="14"/>
        <v>0.25161919999999999</v>
      </c>
      <c r="S72" s="3">
        <f t="shared" si="15"/>
        <v>19.782379024204385</v>
      </c>
      <c r="T72" s="22" t="s">
        <v>638</v>
      </c>
      <c r="U72" s="22">
        <f t="shared" si="20"/>
        <v>15.000000000000027</v>
      </c>
      <c r="V72" s="5">
        <f t="shared" si="21"/>
        <v>296.7356853630663</v>
      </c>
      <c r="W72" s="22"/>
      <c r="X72" s="22"/>
      <c r="Y72" s="1">
        <v>43924</v>
      </c>
      <c r="Z72" s="2">
        <v>0.33333333333333331</v>
      </c>
      <c r="AA72" s="22">
        <v>0</v>
      </c>
      <c r="AB72" s="22">
        <v>1.3340000000000001</v>
      </c>
      <c r="AC72" s="22">
        <v>12.746</v>
      </c>
      <c r="AD72" s="3">
        <f t="shared" si="16"/>
        <v>0.44635640000000004</v>
      </c>
      <c r="AE72" s="4">
        <f t="shared" si="17"/>
        <v>83.372460463082831</v>
      </c>
      <c r="AF72" s="22" t="s">
        <v>639</v>
      </c>
      <c r="AG72" s="22">
        <f t="shared" si="22"/>
        <v>15.000000000000027</v>
      </c>
      <c r="AH72" s="5">
        <f t="shared" si="23"/>
        <v>1250.5869069462447</v>
      </c>
    </row>
    <row r="73" spans="1:34">
      <c r="A73" s="1">
        <v>43924</v>
      </c>
      <c r="B73" s="2">
        <v>0.34375</v>
      </c>
      <c r="C73" s="22">
        <v>0</v>
      </c>
      <c r="D73" s="22">
        <v>0.88900000000000001</v>
      </c>
      <c r="E73" s="22">
        <v>11.07</v>
      </c>
      <c r="F73" s="3">
        <f t="shared" si="12"/>
        <v>0.29745939999999998</v>
      </c>
      <c r="G73" s="3">
        <f t="shared" si="13"/>
        <v>30.465129821504455</v>
      </c>
      <c r="H73" s="22" t="s">
        <v>637</v>
      </c>
      <c r="I73" s="22">
        <f t="shared" si="18"/>
        <v>15.000000000000027</v>
      </c>
      <c r="J73" s="5">
        <f t="shared" si="19"/>
        <v>456.97694732256764</v>
      </c>
      <c r="K73" s="22"/>
      <c r="L73" s="22"/>
      <c r="M73" s="1">
        <v>43924</v>
      </c>
      <c r="N73" s="2">
        <v>0.34375</v>
      </c>
      <c r="O73" s="22">
        <v>0</v>
      </c>
      <c r="P73" s="22">
        <v>0.745</v>
      </c>
      <c r="Q73" s="22">
        <v>12.548</v>
      </c>
      <c r="R73" s="3">
        <f t="shared" si="14"/>
        <v>0.249277</v>
      </c>
      <c r="S73" s="3">
        <f t="shared" si="15"/>
        <v>19.310773658621084</v>
      </c>
      <c r="T73" s="22" t="s">
        <v>638</v>
      </c>
      <c r="U73" s="22">
        <f t="shared" si="20"/>
        <v>15.000000000000027</v>
      </c>
      <c r="V73" s="5">
        <f t="shared" si="21"/>
        <v>289.66160487931677</v>
      </c>
      <c r="W73" s="22"/>
      <c r="X73" s="22"/>
      <c r="Y73" s="1">
        <v>43924</v>
      </c>
      <c r="Z73" s="2">
        <v>0.34375</v>
      </c>
      <c r="AA73" s="22">
        <v>0</v>
      </c>
      <c r="AB73" s="22">
        <v>1.3420000000000001</v>
      </c>
      <c r="AC73" s="22">
        <v>12.778</v>
      </c>
      <c r="AD73" s="3">
        <f t="shared" si="16"/>
        <v>0.44903320000000002</v>
      </c>
      <c r="AE73" s="4">
        <f t="shared" si="17"/>
        <v>84.693855439299242</v>
      </c>
      <c r="AF73" s="22" t="s">
        <v>639</v>
      </c>
      <c r="AG73" s="22">
        <f t="shared" si="22"/>
        <v>15.000000000000027</v>
      </c>
      <c r="AH73" s="5">
        <f t="shared" si="23"/>
        <v>1270.4078315894908</v>
      </c>
    </row>
    <row r="74" spans="1:34">
      <c r="A74" s="1">
        <v>43924</v>
      </c>
      <c r="B74" s="2">
        <v>0.35416666666666669</v>
      </c>
      <c r="C74" s="22">
        <v>0</v>
      </c>
      <c r="D74" s="22">
        <v>0.91800000000000004</v>
      </c>
      <c r="E74" s="22">
        <v>11.103999999999999</v>
      </c>
      <c r="F74" s="3">
        <f t="shared" si="12"/>
        <v>0.30716280000000001</v>
      </c>
      <c r="G74" s="3">
        <f t="shared" si="13"/>
        <v>33.095626548169577</v>
      </c>
      <c r="H74" s="22" t="s">
        <v>637</v>
      </c>
      <c r="I74" s="22">
        <f t="shared" si="18"/>
        <v>14.999999999999947</v>
      </c>
      <c r="J74" s="5">
        <f t="shared" si="19"/>
        <v>496.43439822254186</v>
      </c>
      <c r="K74" s="22"/>
      <c r="L74" s="22"/>
      <c r="M74" s="1">
        <v>43924</v>
      </c>
      <c r="N74" s="2">
        <v>0.35416666666666669</v>
      </c>
      <c r="O74" s="22">
        <v>0</v>
      </c>
      <c r="P74" s="22">
        <v>0.77400000000000002</v>
      </c>
      <c r="Q74" s="22">
        <v>12.646000000000001</v>
      </c>
      <c r="R74" s="3">
        <f t="shared" si="14"/>
        <v>0.2589804</v>
      </c>
      <c r="S74" s="3">
        <f t="shared" si="15"/>
        <v>21.310231537589381</v>
      </c>
      <c r="T74" s="22" t="s">
        <v>638</v>
      </c>
      <c r="U74" s="22">
        <f t="shared" si="20"/>
        <v>14.999999999999947</v>
      </c>
      <c r="V74" s="5">
        <f t="shared" si="21"/>
        <v>319.65347306383956</v>
      </c>
      <c r="W74" s="22"/>
      <c r="X74" s="22"/>
      <c r="Y74" s="1">
        <v>43924</v>
      </c>
      <c r="Z74" s="2">
        <v>0.35416666666666669</v>
      </c>
      <c r="AA74" s="22">
        <v>0</v>
      </c>
      <c r="AB74" s="22">
        <v>1.353</v>
      </c>
      <c r="AC74" s="22">
        <v>12.887</v>
      </c>
      <c r="AD74" s="3">
        <f t="shared" si="16"/>
        <v>0.4527138</v>
      </c>
      <c r="AE74" s="4">
        <f t="shared" si="17"/>
        <v>86.531850584831346</v>
      </c>
      <c r="AF74" s="22" t="s">
        <v>639</v>
      </c>
      <c r="AG74" s="22">
        <f t="shared" si="22"/>
        <v>14.999999999999947</v>
      </c>
      <c r="AH74" s="5">
        <f t="shared" si="23"/>
        <v>1297.9777587724657</v>
      </c>
    </row>
    <row r="75" spans="1:34">
      <c r="A75" s="1">
        <v>43924</v>
      </c>
      <c r="B75" s="2">
        <v>0.36458333333333331</v>
      </c>
      <c r="C75" s="22">
        <v>0</v>
      </c>
      <c r="D75" s="22">
        <v>0.92300000000000004</v>
      </c>
      <c r="E75" s="22">
        <v>11.180999999999999</v>
      </c>
      <c r="F75" s="3">
        <f t="shared" si="12"/>
        <v>0.30883580000000005</v>
      </c>
      <c r="G75" s="3">
        <f t="shared" si="13"/>
        <v>33.562699031135516</v>
      </c>
      <c r="H75" s="22" t="s">
        <v>637</v>
      </c>
      <c r="I75" s="22">
        <f t="shared" si="18"/>
        <v>15.000000000000027</v>
      </c>
      <c r="J75" s="5">
        <f t="shared" si="19"/>
        <v>503.44048546703362</v>
      </c>
      <c r="K75" s="22"/>
      <c r="L75" s="22"/>
      <c r="M75" s="1">
        <v>43924</v>
      </c>
      <c r="N75" s="2">
        <v>0.36458333333333331</v>
      </c>
      <c r="O75" s="22">
        <v>0</v>
      </c>
      <c r="P75" s="22">
        <v>0.77400000000000002</v>
      </c>
      <c r="Q75" s="22">
        <v>12.765000000000001</v>
      </c>
      <c r="R75" s="3">
        <f t="shared" si="14"/>
        <v>0.2589804</v>
      </c>
      <c r="S75" s="3">
        <f t="shared" si="15"/>
        <v>21.310231537589381</v>
      </c>
      <c r="T75" s="22" t="s">
        <v>638</v>
      </c>
      <c r="U75" s="22">
        <f t="shared" si="20"/>
        <v>15.000000000000027</v>
      </c>
      <c r="V75" s="5">
        <f t="shared" si="21"/>
        <v>319.65347306384126</v>
      </c>
      <c r="W75" s="22"/>
      <c r="X75" s="22"/>
      <c r="Y75" s="1">
        <v>43924</v>
      </c>
      <c r="Z75" s="2">
        <v>0.36458333333333331</v>
      </c>
      <c r="AA75" s="22">
        <v>0</v>
      </c>
      <c r="AB75" s="22">
        <v>1.3720000000000001</v>
      </c>
      <c r="AC75" s="22">
        <v>13.07</v>
      </c>
      <c r="AD75" s="3">
        <f t="shared" si="16"/>
        <v>0.45907120000000007</v>
      </c>
      <c r="AE75" s="4">
        <f t="shared" si="17"/>
        <v>89.764393226259912</v>
      </c>
      <c r="AF75" s="22" t="s">
        <v>639</v>
      </c>
      <c r="AG75" s="22">
        <f t="shared" si="22"/>
        <v>15.000000000000027</v>
      </c>
      <c r="AH75" s="5">
        <f t="shared" si="23"/>
        <v>1346.4658983939012</v>
      </c>
    </row>
    <row r="76" spans="1:34">
      <c r="A76" s="1">
        <v>43924</v>
      </c>
      <c r="B76" s="2">
        <v>0.375</v>
      </c>
      <c r="C76" s="22">
        <v>0</v>
      </c>
      <c r="D76" s="22">
        <v>0.91600000000000004</v>
      </c>
      <c r="E76" s="22">
        <v>11.269</v>
      </c>
      <c r="F76" s="3">
        <f t="shared" si="12"/>
        <v>0.30649360000000003</v>
      </c>
      <c r="G76" s="3">
        <f t="shared" si="13"/>
        <v>32.909918886899817</v>
      </c>
      <c r="H76" s="22" t="s">
        <v>637</v>
      </c>
      <c r="I76" s="22">
        <f t="shared" si="18"/>
        <v>15.000000000000027</v>
      </c>
      <c r="J76" s="5">
        <f t="shared" si="19"/>
        <v>493.64878330349813</v>
      </c>
      <c r="K76" s="22"/>
      <c r="L76" s="22"/>
      <c r="M76" s="1">
        <v>43924</v>
      </c>
      <c r="N76" s="2">
        <v>0.375</v>
      </c>
      <c r="O76" s="22">
        <v>0</v>
      </c>
      <c r="P76" s="22">
        <v>0.77200000000000002</v>
      </c>
      <c r="Q76" s="22">
        <v>12.904</v>
      </c>
      <c r="R76" s="3">
        <f t="shared" si="14"/>
        <v>0.25831120000000002</v>
      </c>
      <c r="S76" s="3">
        <f t="shared" si="15"/>
        <v>21.16845319246092</v>
      </c>
      <c r="T76" s="22" t="s">
        <v>638</v>
      </c>
      <c r="U76" s="22">
        <f t="shared" si="20"/>
        <v>15.000000000000027</v>
      </c>
      <c r="V76" s="5">
        <f t="shared" si="21"/>
        <v>317.52679788691438</v>
      </c>
      <c r="W76" s="22"/>
      <c r="X76" s="22"/>
      <c r="Y76" s="1">
        <v>43924</v>
      </c>
      <c r="Z76" s="2">
        <v>0.375</v>
      </c>
      <c r="AA76" s="22">
        <v>0</v>
      </c>
      <c r="AB76" s="22">
        <v>1.36</v>
      </c>
      <c r="AC76" s="22">
        <v>13.176</v>
      </c>
      <c r="AD76" s="3">
        <f t="shared" si="16"/>
        <v>0.45505600000000007</v>
      </c>
      <c r="AE76" s="4">
        <f t="shared" si="17"/>
        <v>87.714242198895377</v>
      </c>
      <c r="AF76" s="22" t="s">
        <v>639</v>
      </c>
      <c r="AG76" s="22">
        <f t="shared" si="22"/>
        <v>15.000000000000027</v>
      </c>
      <c r="AH76" s="5">
        <f t="shared" si="23"/>
        <v>1315.7136329834329</v>
      </c>
    </row>
    <row r="77" spans="1:34">
      <c r="A77" s="1">
        <v>43924</v>
      </c>
      <c r="B77" s="2">
        <v>0.38541666666666669</v>
      </c>
      <c r="C77" s="22">
        <v>0</v>
      </c>
      <c r="D77" s="22">
        <v>0.91400000000000003</v>
      </c>
      <c r="E77" s="22">
        <v>11.385999999999999</v>
      </c>
      <c r="F77" s="3">
        <f t="shared" si="12"/>
        <v>0.3058244</v>
      </c>
      <c r="G77" s="3">
        <f t="shared" si="13"/>
        <v>32.724850772837215</v>
      </c>
      <c r="H77" s="22" t="s">
        <v>637</v>
      </c>
      <c r="I77" s="22">
        <f t="shared" si="18"/>
        <v>14.999999999999947</v>
      </c>
      <c r="J77" s="5">
        <f t="shared" si="19"/>
        <v>490.87276159255646</v>
      </c>
      <c r="K77" s="22"/>
      <c r="L77" s="22"/>
      <c r="M77" s="1">
        <v>43924</v>
      </c>
      <c r="N77" s="2">
        <v>0.38541666666666669</v>
      </c>
      <c r="O77" s="22">
        <v>0</v>
      </c>
      <c r="P77" s="22">
        <v>0.77</v>
      </c>
      <c r="Q77" s="22">
        <v>13.029</v>
      </c>
      <c r="R77" s="3">
        <f t="shared" si="14"/>
        <v>0.25764200000000004</v>
      </c>
      <c r="S77" s="3">
        <f t="shared" si="15"/>
        <v>21.027253997583731</v>
      </c>
      <c r="T77" s="22" t="s">
        <v>638</v>
      </c>
      <c r="U77" s="22">
        <f t="shared" si="20"/>
        <v>14.999999999999947</v>
      </c>
      <c r="V77" s="5">
        <f t="shared" si="21"/>
        <v>315.40880996375483</v>
      </c>
      <c r="W77" s="22"/>
      <c r="X77" s="22"/>
      <c r="Y77" s="1">
        <v>43924</v>
      </c>
      <c r="Z77" s="2">
        <v>0.38541666666666669</v>
      </c>
      <c r="AA77" s="22">
        <v>0</v>
      </c>
      <c r="AB77" s="22">
        <v>1.361</v>
      </c>
      <c r="AC77" s="22">
        <v>13.32</v>
      </c>
      <c r="AD77" s="3">
        <f t="shared" si="16"/>
        <v>0.45539060000000003</v>
      </c>
      <c r="AE77" s="4">
        <f t="shared" si="17"/>
        <v>87.883967729614767</v>
      </c>
      <c r="AF77" s="22" t="s">
        <v>639</v>
      </c>
      <c r="AG77" s="22">
        <f t="shared" si="22"/>
        <v>14.999999999999947</v>
      </c>
      <c r="AH77" s="5">
        <f t="shared" si="23"/>
        <v>1318.2595159442169</v>
      </c>
    </row>
    <row r="78" spans="1:34">
      <c r="A78" s="1">
        <v>43924</v>
      </c>
      <c r="B78" s="2">
        <v>0.39583333333333331</v>
      </c>
      <c r="C78" s="22">
        <v>0</v>
      </c>
      <c r="D78" s="22">
        <v>0.97</v>
      </c>
      <c r="E78" s="22">
        <v>11.523</v>
      </c>
      <c r="F78" s="3">
        <f t="shared" si="12"/>
        <v>0.32456200000000002</v>
      </c>
      <c r="G78" s="3">
        <f t="shared" si="13"/>
        <v>38.151143911755831</v>
      </c>
      <c r="H78" s="22" t="s">
        <v>637</v>
      </c>
      <c r="I78" s="22">
        <f t="shared" si="18"/>
        <v>15.000000000000027</v>
      </c>
      <c r="J78" s="5">
        <f t="shared" si="19"/>
        <v>572.26715867633845</v>
      </c>
      <c r="K78" s="22"/>
      <c r="L78" s="22"/>
      <c r="M78" s="1">
        <v>43924</v>
      </c>
      <c r="N78" s="2">
        <v>0.39583333333333331</v>
      </c>
      <c r="O78" s="22">
        <v>0</v>
      </c>
      <c r="P78" s="22">
        <v>0.82399999999999995</v>
      </c>
      <c r="Q78" s="22">
        <v>13.183</v>
      </c>
      <c r="R78" s="3">
        <f t="shared" si="14"/>
        <v>0.27571039999999997</v>
      </c>
      <c r="S78" s="3">
        <f t="shared" si="15"/>
        <v>25.045441741474235</v>
      </c>
      <c r="T78" s="22" t="s">
        <v>638</v>
      </c>
      <c r="U78" s="22">
        <f t="shared" si="20"/>
        <v>15.000000000000027</v>
      </c>
      <c r="V78" s="5">
        <f t="shared" si="21"/>
        <v>375.68162612211421</v>
      </c>
      <c r="W78" s="22"/>
      <c r="X78" s="22"/>
      <c r="Y78" s="1">
        <v>43924</v>
      </c>
      <c r="Z78" s="2">
        <v>0.39583333333333331</v>
      </c>
      <c r="AA78" s="22">
        <v>0</v>
      </c>
      <c r="AB78" s="22">
        <v>1.403</v>
      </c>
      <c r="AC78" s="22">
        <v>13.45</v>
      </c>
      <c r="AD78" s="3">
        <f t="shared" si="16"/>
        <v>0.46944380000000002</v>
      </c>
      <c r="AE78" s="4">
        <f t="shared" si="17"/>
        <v>95.197262829900794</v>
      </c>
      <c r="AF78" s="22" t="s">
        <v>639</v>
      </c>
      <c r="AG78" s="22">
        <f t="shared" si="22"/>
        <v>15.000000000000027</v>
      </c>
      <c r="AH78" s="5">
        <f t="shared" si="23"/>
        <v>1427.9589424485143</v>
      </c>
    </row>
    <row r="79" spans="1:34">
      <c r="A79" s="1">
        <v>43924</v>
      </c>
      <c r="B79" s="2">
        <v>0.40625</v>
      </c>
      <c r="C79" s="22">
        <v>0</v>
      </c>
      <c r="D79" s="22">
        <v>0.95399999999999996</v>
      </c>
      <c r="E79" s="22">
        <v>11.670999999999999</v>
      </c>
      <c r="F79" s="3">
        <f t="shared" si="12"/>
        <v>0.3192084</v>
      </c>
      <c r="G79" s="3">
        <f t="shared" si="13"/>
        <v>36.548646342422309</v>
      </c>
      <c r="H79" s="22" t="s">
        <v>637</v>
      </c>
      <c r="I79" s="22">
        <f t="shared" si="18"/>
        <v>15.000000000000027</v>
      </c>
      <c r="J79" s="5">
        <f t="shared" si="19"/>
        <v>548.22969513633564</v>
      </c>
      <c r="K79" s="22"/>
      <c r="L79" s="22"/>
      <c r="M79" s="1">
        <v>43924</v>
      </c>
      <c r="N79" s="2">
        <v>0.40625</v>
      </c>
      <c r="O79" s="22">
        <v>0</v>
      </c>
      <c r="P79" s="22">
        <v>0.80200000000000005</v>
      </c>
      <c r="Q79" s="22">
        <v>13.369</v>
      </c>
      <c r="R79" s="3">
        <f t="shared" si="14"/>
        <v>0.26834920000000001</v>
      </c>
      <c r="S79" s="3">
        <f t="shared" si="15"/>
        <v>23.356424505525613</v>
      </c>
      <c r="T79" s="22" t="s">
        <v>638</v>
      </c>
      <c r="U79" s="22">
        <f t="shared" si="20"/>
        <v>15.000000000000027</v>
      </c>
      <c r="V79" s="5">
        <f t="shared" si="21"/>
        <v>350.3463675828848</v>
      </c>
      <c r="W79" s="22"/>
      <c r="X79" s="22"/>
      <c r="Y79" s="1">
        <v>43924</v>
      </c>
      <c r="Z79" s="2">
        <v>0.40625</v>
      </c>
      <c r="AA79" s="22">
        <v>0</v>
      </c>
      <c r="AB79" s="22">
        <v>1.39</v>
      </c>
      <c r="AC79" s="22">
        <v>13.707000000000001</v>
      </c>
      <c r="AD79" s="3">
        <f t="shared" si="16"/>
        <v>0.46509399999999995</v>
      </c>
      <c r="AE79" s="4">
        <f t="shared" si="17"/>
        <v>92.894865727590201</v>
      </c>
      <c r="AF79" s="22" t="s">
        <v>639</v>
      </c>
      <c r="AG79" s="22">
        <f t="shared" si="22"/>
        <v>15.000000000000027</v>
      </c>
      <c r="AH79" s="5">
        <f t="shared" si="23"/>
        <v>1393.4229859138554</v>
      </c>
    </row>
    <row r="80" spans="1:34">
      <c r="A80" s="1">
        <v>43924</v>
      </c>
      <c r="B80" s="2">
        <v>0.41666666666666669</v>
      </c>
      <c r="C80" s="22">
        <v>0</v>
      </c>
      <c r="D80" s="22">
        <v>0.93899999999999995</v>
      </c>
      <c r="E80" s="22">
        <v>11.831</v>
      </c>
      <c r="F80" s="3">
        <f t="shared" si="12"/>
        <v>0.31418940000000001</v>
      </c>
      <c r="G80" s="3">
        <f t="shared" si="13"/>
        <v>35.084372863033195</v>
      </c>
      <c r="H80" s="22" t="s">
        <v>637</v>
      </c>
      <c r="I80" s="22">
        <f t="shared" si="18"/>
        <v>14.999999999999947</v>
      </c>
      <c r="J80" s="5">
        <f t="shared" si="19"/>
        <v>526.26559294549611</v>
      </c>
      <c r="K80" s="22"/>
      <c r="L80" s="22"/>
      <c r="M80" s="1">
        <v>43924</v>
      </c>
      <c r="N80" s="2">
        <v>0.41666666666666669</v>
      </c>
      <c r="O80" s="22">
        <v>0</v>
      </c>
      <c r="P80" s="22">
        <v>0.79200000000000004</v>
      </c>
      <c r="Q80" s="22">
        <v>13.584</v>
      </c>
      <c r="R80" s="3">
        <f t="shared" si="14"/>
        <v>0.26500319999999999</v>
      </c>
      <c r="S80" s="3">
        <f t="shared" si="15"/>
        <v>22.612441604608684</v>
      </c>
      <c r="T80" s="22" t="s">
        <v>638</v>
      </c>
      <c r="U80" s="22">
        <f t="shared" si="20"/>
        <v>14.999999999999947</v>
      </c>
      <c r="V80" s="5">
        <f t="shared" si="21"/>
        <v>339.18662406912904</v>
      </c>
      <c r="W80" s="22"/>
      <c r="X80" s="22"/>
      <c r="Y80" s="1">
        <v>43924</v>
      </c>
      <c r="Z80" s="2">
        <v>0.41666666666666669</v>
      </c>
      <c r="AA80" s="22">
        <v>0</v>
      </c>
      <c r="AB80" s="22">
        <v>1.3819999999999999</v>
      </c>
      <c r="AC80" s="22">
        <v>14.029</v>
      </c>
      <c r="AD80" s="3">
        <f t="shared" si="16"/>
        <v>0.46241719999999997</v>
      </c>
      <c r="AE80" s="4">
        <f t="shared" si="17"/>
        <v>91.495332523602656</v>
      </c>
      <c r="AF80" s="22" t="s">
        <v>639</v>
      </c>
      <c r="AG80" s="22">
        <f t="shared" si="22"/>
        <v>14.999999999999947</v>
      </c>
      <c r="AH80" s="5">
        <f t="shared" si="23"/>
        <v>1372.4299878540351</v>
      </c>
    </row>
    <row r="81" spans="1:34">
      <c r="A81" s="1">
        <v>43924</v>
      </c>
      <c r="B81" s="2">
        <v>0.42708333333333331</v>
      </c>
      <c r="C81" s="22">
        <v>0</v>
      </c>
      <c r="D81" s="22">
        <v>0.91200000000000003</v>
      </c>
      <c r="E81" s="22">
        <v>12.003</v>
      </c>
      <c r="F81" s="3">
        <f t="shared" si="12"/>
        <v>0.30515520000000002</v>
      </c>
      <c r="G81" s="3">
        <f t="shared" si="13"/>
        <v>32.54042139570285</v>
      </c>
      <c r="H81" s="22" t="s">
        <v>637</v>
      </c>
      <c r="I81" s="22">
        <f t="shared" si="18"/>
        <v>15.000000000000027</v>
      </c>
      <c r="J81" s="5">
        <f t="shared" si="19"/>
        <v>488.10632093554364</v>
      </c>
      <c r="K81" s="22"/>
      <c r="L81" s="22"/>
      <c r="M81" s="1">
        <v>43924</v>
      </c>
      <c r="N81" s="2">
        <v>0.42708333333333331</v>
      </c>
      <c r="O81" s="22">
        <v>0</v>
      </c>
      <c r="P81" s="22">
        <v>0.76200000000000001</v>
      </c>
      <c r="Q81" s="22">
        <v>13.792999999999999</v>
      </c>
      <c r="R81" s="3">
        <f t="shared" si="14"/>
        <v>0.2549652</v>
      </c>
      <c r="S81" s="3">
        <f t="shared" si="15"/>
        <v>20.468231292306857</v>
      </c>
      <c r="T81" s="22" t="s">
        <v>638</v>
      </c>
      <c r="U81" s="22">
        <f t="shared" si="20"/>
        <v>15.000000000000027</v>
      </c>
      <c r="V81" s="5">
        <f t="shared" si="21"/>
        <v>307.0234693846034</v>
      </c>
      <c r="W81" s="22"/>
      <c r="X81" s="22"/>
      <c r="Y81" s="1">
        <v>43924</v>
      </c>
      <c r="Z81" s="2">
        <v>0.42708333333333331</v>
      </c>
      <c r="AA81" s="22">
        <v>0</v>
      </c>
      <c r="AB81" s="22">
        <v>1.367</v>
      </c>
      <c r="AC81" s="22">
        <v>14.317</v>
      </c>
      <c r="AD81" s="3">
        <f t="shared" si="16"/>
        <v>0.45739820000000003</v>
      </c>
      <c r="AE81" s="4">
        <f t="shared" si="17"/>
        <v>88.906595468224012</v>
      </c>
      <c r="AF81" s="22" t="s">
        <v>639</v>
      </c>
      <c r="AG81" s="22">
        <f t="shared" si="22"/>
        <v>15.000000000000027</v>
      </c>
      <c r="AH81" s="5">
        <f t="shared" si="23"/>
        <v>1333.5989320233625</v>
      </c>
    </row>
    <row r="82" spans="1:34">
      <c r="A82" s="1">
        <v>43924</v>
      </c>
      <c r="B82" s="2">
        <v>0.4375</v>
      </c>
      <c r="C82" s="22">
        <v>0</v>
      </c>
      <c r="D82" s="22">
        <v>1.034</v>
      </c>
      <c r="E82" s="22">
        <v>12.159000000000001</v>
      </c>
      <c r="F82" s="3">
        <f t="shared" si="12"/>
        <v>0.34597640000000002</v>
      </c>
      <c r="G82" s="3">
        <f t="shared" si="13"/>
        <v>44.988289360730498</v>
      </c>
      <c r="H82" s="22" t="s">
        <v>637</v>
      </c>
      <c r="I82" s="22">
        <f t="shared" si="18"/>
        <v>15.000000000000027</v>
      </c>
      <c r="J82" s="5">
        <f t="shared" si="19"/>
        <v>674.82434041095871</v>
      </c>
      <c r="K82" s="22"/>
      <c r="L82" s="22"/>
      <c r="M82" s="1">
        <v>43924</v>
      </c>
      <c r="N82" s="2">
        <v>0.4375</v>
      </c>
      <c r="O82" s="22">
        <v>0</v>
      </c>
      <c r="P82" s="22">
        <v>0.88900000000000001</v>
      </c>
      <c r="Q82" s="22">
        <v>14.007</v>
      </c>
      <c r="R82" s="3">
        <f t="shared" si="14"/>
        <v>0.29745939999999998</v>
      </c>
      <c r="S82" s="3">
        <f t="shared" si="15"/>
        <v>30.465129821504455</v>
      </c>
      <c r="T82" s="22" t="s">
        <v>638</v>
      </c>
      <c r="U82" s="22">
        <f t="shared" si="20"/>
        <v>15.000000000000027</v>
      </c>
      <c r="V82" s="5">
        <f t="shared" si="21"/>
        <v>456.97694732256764</v>
      </c>
      <c r="W82" s="22"/>
      <c r="X82" s="22"/>
      <c r="Y82" s="1">
        <v>43924</v>
      </c>
      <c r="Z82" s="2">
        <v>0.4375</v>
      </c>
      <c r="AA82" s="22">
        <v>0</v>
      </c>
      <c r="AB82" s="22">
        <v>1.5029999999999999</v>
      </c>
      <c r="AC82" s="22">
        <v>14.52</v>
      </c>
      <c r="AD82" s="3">
        <f t="shared" si="16"/>
        <v>0.50290380000000001</v>
      </c>
      <c r="AE82" s="4">
        <f t="shared" si="17"/>
        <v>114.09455152534717</v>
      </c>
      <c r="AF82" s="22" t="s">
        <v>639</v>
      </c>
      <c r="AG82" s="22">
        <f t="shared" si="22"/>
        <v>15.000000000000027</v>
      </c>
      <c r="AH82" s="5">
        <f t="shared" si="23"/>
        <v>1711.4182728802107</v>
      </c>
    </row>
    <row r="83" spans="1:34">
      <c r="A83" s="1">
        <v>43924</v>
      </c>
      <c r="B83" s="2">
        <v>0.44791666666666669</v>
      </c>
      <c r="C83" s="22">
        <v>0</v>
      </c>
      <c r="D83" s="22">
        <v>1.022</v>
      </c>
      <c r="E83" s="22">
        <v>12.348000000000001</v>
      </c>
      <c r="F83" s="3">
        <f t="shared" si="12"/>
        <v>0.34196120000000002</v>
      </c>
      <c r="G83" s="3">
        <f t="shared" si="13"/>
        <v>43.653573496027796</v>
      </c>
      <c r="H83" s="22" t="s">
        <v>637</v>
      </c>
      <c r="I83" s="22">
        <f t="shared" si="18"/>
        <v>14.999999999999947</v>
      </c>
      <c r="J83" s="5">
        <f t="shared" si="19"/>
        <v>654.80360244041458</v>
      </c>
      <c r="K83" s="22"/>
      <c r="L83" s="22"/>
      <c r="M83" s="1">
        <v>43924</v>
      </c>
      <c r="N83" s="2">
        <v>0.44791666666666669</v>
      </c>
      <c r="O83" s="22">
        <v>0</v>
      </c>
      <c r="P83" s="22">
        <v>0.878</v>
      </c>
      <c r="Q83" s="22">
        <v>14.311</v>
      </c>
      <c r="R83" s="3">
        <f t="shared" si="14"/>
        <v>0.29377880000000001</v>
      </c>
      <c r="S83" s="3">
        <f t="shared" si="15"/>
        <v>29.502059928036108</v>
      </c>
      <c r="T83" s="22" t="s">
        <v>638</v>
      </c>
      <c r="U83" s="22">
        <f t="shared" si="20"/>
        <v>14.999999999999947</v>
      </c>
      <c r="V83" s="5">
        <f t="shared" si="21"/>
        <v>442.53089892054004</v>
      </c>
      <c r="W83" s="22"/>
      <c r="X83" s="22"/>
      <c r="Y83" s="1">
        <v>43924</v>
      </c>
      <c r="Z83" s="2">
        <v>0.44791666666666669</v>
      </c>
      <c r="AA83" s="22">
        <v>0</v>
      </c>
      <c r="AB83" s="22">
        <v>1.4750000000000001</v>
      </c>
      <c r="AC83" s="22">
        <v>14.638999999999999</v>
      </c>
      <c r="AD83" s="3">
        <f t="shared" si="16"/>
        <v>0.49353500000000006</v>
      </c>
      <c r="AE83" s="4">
        <f t="shared" si="17"/>
        <v>108.58899159172111</v>
      </c>
      <c r="AF83" s="22" t="s">
        <v>639</v>
      </c>
      <c r="AG83" s="22">
        <f t="shared" si="22"/>
        <v>14.999999999999947</v>
      </c>
      <c r="AH83" s="5">
        <f t="shared" si="23"/>
        <v>1628.8348738758109</v>
      </c>
    </row>
    <row r="84" spans="1:34">
      <c r="A84" s="1">
        <v>43924</v>
      </c>
      <c r="B84" s="2">
        <v>0.45833333333333331</v>
      </c>
      <c r="C84" s="22">
        <v>0</v>
      </c>
      <c r="D84" s="22">
        <v>0.99199999999999999</v>
      </c>
      <c r="E84" s="22">
        <v>12.51</v>
      </c>
      <c r="F84" s="3">
        <f t="shared" si="12"/>
        <v>0.33192320000000003</v>
      </c>
      <c r="G84" s="3">
        <f t="shared" si="13"/>
        <v>40.423750431228441</v>
      </c>
      <c r="H84" s="22" t="s">
        <v>637</v>
      </c>
      <c r="I84" s="22">
        <f t="shared" si="18"/>
        <v>15.000000000000027</v>
      </c>
      <c r="J84" s="5">
        <f t="shared" si="19"/>
        <v>606.35625646842766</v>
      </c>
      <c r="K84" s="22"/>
      <c r="L84" s="22"/>
      <c r="M84" s="1">
        <v>43924</v>
      </c>
      <c r="N84" s="2">
        <v>0.45833333333333331</v>
      </c>
      <c r="O84" s="22">
        <v>0</v>
      </c>
      <c r="P84" s="22">
        <v>0.85299999999999998</v>
      </c>
      <c r="Q84" s="22">
        <v>14.608000000000001</v>
      </c>
      <c r="R84" s="3">
        <f t="shared" si="14"/>
        <v>0.2854138</v>
      </c>
      <c r="S84" s="3">
        <f t="shared" si="15"/>
        <v>27.383249926885526</v>
      </c>
      <c r="T84" s="22" t="s">
        <v>638</v>
      </c>
      <c r="U84" s="22">
        <f t="shared" si="20"/>
        <v>15.000000000000027</v>
      </c>
      <c r="V84" s="5">
        <f t="shared" si="21"/>
        <v>410.74874890328363</v>
      </c>
      <c r="W84" s="22"/>
      <c r="X84" s="22"/>
      <c r="Y84" s="1">
        <v>43924</v>
      </c>
      <c r="Z84" s="2">
        <v>0.45833333333333331</v>
      </c>
      <c r="AA84" s="22">
        <v>0</v>
      </c>
      <c r="AB84" s="22">
        <v>1.4430000000000001</v>
      </c>
      <c r="AC84" s="22">
        <v>14.755000000000001</v>
      </c>
      <c r="AD84" s="3">
        <f t="shared" si="16"/>
        <v>0.48282780000000003</v>
      </c>
      <c r="AE84" s="4">
        <f t="shared" si="17"/>
        <v>102.50221196613516</v>
      </c>
      <c r="AF84" s="22" t="s">
        <v>639</v>
      </c>
      <c r="AG84" s="22">
        <f t="shared" si="22"/>
        <v>15.000000000000027</v>
      </c>
      <c r="AH84" s="5">
        <f t="shared" si="23"/>
        <v>1537.5331794920303</v>
      </c>
    </row>
    <row r="85" spans="1:34">
      <c r="A85" s="1">
        <v>43924</v>
      </c>
      <c r="B85" s="2">
        <v>0.46875</v>
      </c>
      <c r="C85" s="22">
        <v>0</v>
      </c>
      <c r="D85" s="22">
        <v>0.95799999999999996</v>
      </c>
      <c r="E85" s="22">
        <v>12.682</v>
      </c>
      <c r="F85" s="3">
        <f t="shared" si="12"/>
        <v>0.32054680000000002</v>
      </c>
      <c r="G85" s="3">
        <f t="shared" si="13"/>
        <v>36.945326016034549</v>
      </c>
      <c r="H85" s="22" t="s">
        <v>637</v>
      </c>
      <c r="I85" s="22">
        <f t="shared" si="18"/>
        <v>15.000000000000027</v>
      </c>
      <c r="J85" s="5">
        <f t="shared" si="19"/>
        <v>554.17989024051917</v>
      </c>
      <c r="K85" s="22"/>
      <c r="L85" s="22"/>
      <c r="M85" s="1">
        <v>43924</v>
      </c>
      <c r="N85" s="2">
        <v>0.46875</v>
      </c>
      <c r="O85" s="22">
        <v>0</v>
      </c>
      <c r="P85" s="22">
        <v>0.82099999999999995</v>
      </c>
      <c r="Q85" s="22">
        <v>14.882</v>
      </c>
      <c r="R85" s="3">
        <f t="shared" si="14"/>
        <v>0.27470659999999997</v>
      </c>
      <c r="S85" s="3">
        <f t="shared" si="15"/>
        <v>24.810860973590213</v>
      </c>
      <c r="T85" s="22" t="s">
        <v>638</v>
      </c>
      <c r="U85" s="22">
        <f t="shared" si="20"/>
        <v>15.000000000000027</v>
      </c>
      <c r="V85" s="5">
        <f t="shared" si="21"/>
        <v>372.16291460385384</v>
      </c>
      <c r="W85" s="22"/>
      <c r="X85" s="22"/>
      <c r="Y85" s="1">
        <v>43924</v>
      </c>
      <c r="Z85" s="2">
        <v>0.46875</v>
      </c>
      <c r="AA85" s="22">
        <v>0</v>
      </c>
      <c r="AB85" s="22">
        <v>1.401</v>
      </c>
      <c r="AC85" s="22">
        <v>14.808999999999999</v>
      </c>
      <c r="AD85" s="3">
        <f t="shared" si="16"/>
        <v>0.46877460000000004</v>
      </c>
      <c r="AE85" s="4">
        <f t="shared" si="17"/>
        <v>94.840772436713152</v>
      </c>
      <c r="AF85" s="22" t="s">
        <v>639</v>
      </c>
      <c r="AG85" s="22">
        <f t="shared" si="22"/>
        <v>15.000000000000027</v>
      </c>
      <c r="AH85" s="5">
        <f t="shared" si="23"/>
        <v>1422.6115865506997</v>
      </c>
    </row>
    <row r="86" spans="1:34">
      <c r="A86" s="1">
        <v>43924</v>
      </c>
      <c r="B86" s="2">
        <v>0.47916666666666669</v>
      </c>
      <c r="C86" s="22">
        <v>0</v>
      </c>
      <c r="D86" s="22">
        <v>1.081</v>
      </c>
      <c r="E86" s="22">
        <v>12.821</v>
      </c>
      <c r="F86" s="3">
        <f t="shared" si="12"/>
        <v>0.36170259999999999</v>
      </c>
      <c r="G86" s="3">
        <f t="shared" si="13"/>
        <v>50.455298542663776</v>
      </c>
      <c r="H86" s="22" t="s">
        <v>637</v>
      </c>
      <c r="I86" s="22">
        <f t="shared" si="18"/>
        <v>14.999999999999947</v>
      </c>
      <c r="J86" s="5">
        <f t="shared" si="19"/>
        <v>756.82947813995395</v>
      </c>
      <c r="K86" s="22"/>
      <c r="L86" s="22"/>
      <c r="M86" s="1">
        <v>43924</v>
      </c>
      <c r="N86" s="2">
        <v>0.47916666666666669</v>
      </c>
      <c r="O86" s="22">
        <v>0</v>
      </c>
      <c r="P86" s="22">
        <v>0.94599999999999995</v>
      </c>
      <c r="Q86" s="22">
        <v>15.209</v>
      </c>
      <c r="R86" s="3">
        <f t="shared" si="14"/>
        <v>0.31653159999999997</v>
      </c>
      <c r="S86" s="3">
        <f t="shared" si="15"/>
        <v>35.763138265325324</v>
      </c>
      <c r="T86" s="22" t="s">
        <v>638</v>
      </c>
      <c r="U86" s="22">
        <f t="shared" si="20"/>
        <v>14.999999999999947</v>
      </c>
      <c r="V86" s="5">
        <f t="shared" si="21"/>
        <v>536.44707397987793</v>
      </c>
      <c r="W86" s="22"/>
      <c r="X86" s="22"/>
      <c r="Y86" s="1">
        <v>43924</v>
      </c>
      <c r="Z86" s="2">
        <v>0.47916666666666669</v>
      </c>
      <c r="AA86" s="22">
        <v>0</v>
      </c>
      <c r="AB86" s="22">
        <v>1.5249999999999999</v>
      </c>
      <c r="AC86" s="22">
        <v>14.813000000000001</v>
      </c>
      <c r="AD86" s="3">
        <f t="shared" si="16"/>
        <v>0.51026499999999997</v>
      </c>
      <c r="AE86" s="4">
        <f t="shared" si="17"/>
        <v>118.53933199901938</v>
      </c>
      <c r="AF86" s="22" t="s">
        <v>639</v>
      </c>
      <c r="AG86" s="22">
        <f t="shared" si="22"/>
        <v>14.999999999999947</v>
      </c>
      <c r="AH86" s="5">
        <f t="shared" si="23"/>
        <v>1778.0899799852843</v>
      </c>
    </row>
    <row r="87" spans="1:34">
      <c r="A87" s="1">
        <v>43924</v>
      </c>
      <c r="B87" s="2">
        <v>0.48958333333333331</v>
      </c>
      <c r="C87" s="22">
        <v>0</v>
      </c>
      <c r="D87" s="22">
        <v>1.024</v>
      </c>
      <c r="E87" s="22">
        <v>13.012</v>
      </c>
      <c r="F87" s="3">
        <f t="shared" si="12"/>
        <v>0.3426304</v>
      </c>
      <c r="G87" s="3">
        <f t="shared" si="13"/>
        <v>43.874317927135401</v>
      </c>
      <c r="H87" s="22" t="s">
        <v>637</v>
      </c>
      <c r="I87" s="22">
        <f t="shared" si="18"/>
        <v>15.000000000000027</v>
      </c>
      <c r="J87" s="5">
        <f t="shared" si="19"/>
        <v>658.11476890703216</v>
      </c>
      <c r="K87" s="22"/>
      <c r="L87" s="22"/>
      <c r="M87" s="1">
        <v>43924</v>
      </c>
      <c r="N87" s="2">
        <v>0.48958333333333331</v>
      </c>
      <c r="O87" s="22">
        <v>0</v>
      </c>
      <c r="P87" s="22">
        <v>0.89300000000000002</v>
      </c>
      <c r="Q87" s="22">
        <v>15.595000000000001</v>
      </c>
      <c r="R87" s="3">
        <f t="shared" si="14"/>
        <v>0.2987978</v>
      </c>
      <c r="S87" s="3">
        <f t="shared" si="15"/>
        <v>30.820043954520649</v>
      </c>
      <c r="T87" s="22" t="s">
        <v>638</v>
      </c>
      <c r="U87" s="22">
        <f t="shared" si="20"/>
        <v>15.000000000000027</v>
      </c>
      <c r="V87" s="5">
        <f t="shared" si="21"/>
        <v>462.30065931781058</v>
      </c>
      <c r="W87" s="22"/>
      <c r="X87" s="22"/>
      <c r="Y87" s="1">
        <v>43924</v>
      </c>
      <c r="Z87" s="2">
        <v>0.48958333333333331</v>
      </c>
      <c r="AA87" s="22">
        <v>0</v>
      </c>
      <c r="AB87" s="22">
        <v>1.47</v>
      </c>
      <c r="AC87" s="22">
        <v>14.823</v>
      </c>
      <c r="AD87" s="3">
        <f t="shared" si="16"/>
        <v>0.49186200000000002</v>
      </c>
      <c r="AE87" s="4">
        <f t="shared" si="17"/>
        <v>107.62356579689816</v>
      </c>
      <c r="AF87" s="22" t="s">
        <v>639</v>
      </c>
      <c r="AG87" s="22">
        <f t="shared" si="22"/>
        <v>15.000000000000027</v>
      </c>
      <c r="AH87" s="5">
        <f t="shared" si="23"/>
        <v>1614.3534869534753</v>
      </c>
    </row>
    <row r="88" spans="1:34">
      <c r="A88" s="1">
        <v>43924</v>
      </c>
      <c r="B88" s="2">
        <v>0.5</v>
      </c>
      <c r="C88" s="22">
        <v>0</v>
      </c>
      <c r="D88" s="22">
        <v>0.99199999999999999</v>
      </c>
      <c r="E88" s="22">
        <v>13.242000000000001</v>
      </c>
      <c r="F88" s="3">
        <f t="shared" si="12"/>
        <v>0.33192320000000003</v>
      </c>
      <c r="G88" s="3">
        <f t="shared" si="13"/>
        <v>40.423750431228441</v>
      </c>
      <c r="H88" s="22" t="s">
        <v>637</v>
      </c>
      <c r="I88" s="22">
        <f t="shared" si="18"/>
        <v>14.999999999999947</v>
      </c>
      <c r="J88" s="5">
        <f t="shared" si="19"/>
        <v>606.35625646842448</v>
      </c>
      <c r="K88" s="22"/>
      <c r="L88" s="22"/>
      <c r="M88" s="1">
        <v>43924</v>
      </c>
      <c r="N88" s="2">
        <v>0.5</v>
      </c>
      <c r="O88" s="22">
        <v>0</v>
      </c>
      <c r="P88" s="22">
        <v>0.85699999999999998</v>
      </c>
      <c r="Q88" s="22">
        <v>15.885</v>
      </c>
      <c r="R88" s="3">
        <f t="shared" si="14"/>
        <v>0.28675220000000001</v>
      </c>
      <c r="S88" s="3">
        <f t="shared" si="15"/>
        <v>27.715773938568155</v>
      </c>
      <c r="T88" s="22" t="s">
        <v>638</v>
      </c>
      <c r="U88" s="22">
        <f t="shared" si="20"/>
        <v>14.999999999999947</v>
      </c>
      <c r="V88" s="5">
        <f t="shared" si="21"/>
        <v>415.73660907852087</v>
      </c>
      <c r="W88" s="22"/>
      <c r="X88" s="22"/>
      <c r="Y88" s="1">
        <v>43924</v>
      </c>
      <c r="Z88" s="2">
        <v>0.5</v>
      </c>
      <c r="AA88" s="22">
        <v>0</v>
      </c>
      <c r="AB88" s="22">
        <v>1.4330000000000001</v>
      </c>
      <c r="AC88" s="22">
        <v>14.85</v>
      </c>
      <c r="AD88" s="3">
        <f t="shared" si="16"/>
        <v>0.47948180000000001</v>
      </c>
      <c r="AE88" s="4">
        <f t="shared" si="17"/>
        <v>100.64455116081959</v>
      </c>
      <c r="AF88" s="22" t="s">
        <v>639</v>
      </c>
      <c r="AG88" s="22">
        <f t="shared" si="22"/>
        <v>14.999999999999947</v>
      </c>
      <c r="AH88" s="5">
        <f t="shared" si="23"/>
        <v>1509.6682674122885</v>
      </c>
    </row>
    <row r="89" spans="1:34">
      <c r="A89" s="1">
        <v>43924</v>
      </c>
      <c r="B89" s="2">
        <v>0.51041666666666663</v>
      </c>
      <c r="C89" s="22">
        <v>0</v>
      </c>
      <c r="D89" s="22">
        <v>0.95699999999999996</v>
      </c>
      <c r="E89" s="22">
        <v>13.515000000000001</v>
      </c>
      <c r="F89" s="3">
        <f t="shared" si="12"/>
        <v>0.3202122</v>
      </c>
      <c r="G89" s="3">
        <f t="shared" si="13"/>
        <v>36.845910197993007</v>
      </c>
      <c r="H89" s="22" t="s">
        <v>637</v>
      </c>
      <c r="I89" s="22">
        <f t="shared" si="18"/>
        <v>15.000000000000107</v>
      </c>
      <c r="J89" s="5">
        <f t="shared" si="19"/>
        <v>552.68865296989907</v>
      </c>
      <c r="K89" s="22"/>
      <c r="L89" s="22"/>
      <c r="M89" s="1">
        <v>43924</v>
      </c>
      <c r="N89" s="2">
        <v>0.51041666666666663</v>
      </c>
      <c r="O89" s="22">
        <v>0</v>
      </c>
      <c r="P89" s="22">
        <v>0.80800000000000005</v>
      </c>
      <c r="Q89" s="22">
        <v>16.155999999999999</v>
      </c>
      <c r="R89" s="3">
        <f t="shared" si="14"/>
        <v>0.27035680000000001</v>
      </c>
      <c r="S89" s="3">
        <f t="shared" si="15"/>
        <v>23.809912567078147</v>
      </c>
      <c r="T89" s="22" t="s">
        <v>638</v>
      </c>
      <c r="U89" s="22">
        <f t="shared" si="20"/>
        <v>15.000000000000107</v>
      </c>
      <c r="V89" s="5">
        <f t="shared" si="21"/>
        <v>357.14868850617472</v>
      </c>
      <c r="W89" s="22"/>
      <c r="X89" s="22"/>
      <c r="Y89" s="1">
        <v>43924</v>
      </c>
      <c r="Z89" s="2">
        <v>0.51041666666666663</v>
      </c>
      <c r="AA89" s="22">
        <v>0</v>
      </c>
      <c r="AB89" s="22">
        <v>1.383</v>
      </c>
      <c r="AC89" s="22">
        <v>14.893000000000001</v>
      </c>
      <c r="AD89" s="3">
        <f t="shared" si="16"/>
        <v>0.46275179999999999</v>
      </c>
      <c r="AE89" s="4">
        <f t="shared" si="17"/>
        <v>91.669554414515233</v>
      </c>
      <c r="AF89" s="22" t="s">
        <v>639</v>
      </c>
      <c r="AG89" s="22">
        <f t="shared" si="22"/>
        <v>15.000000000000107</v>
      </c>
      <c r="AH89" s="5">
        <f t="shared" si="23"/>
        <v>1375.0433162177383</v>
      </c>
    </row>
    <row r="90" spans="1:34">
      <c r="A90" s="1">
        <v>43924</v>
      </c>
      <c r="B90" s="2">
        <v>0.52083333333333337</v>
      </c>
      <c r="C90" s="22">
        <v>0</v>
      </c>
      <c r="D90" s="22">
        <v>1.1739999999999999</v>
      </c>
      <c r="E90" s="22">
        <v>13.811</v>
      </c>
      <c r="F90" s="3">
        <f t="shared" si="12"/>
        <v>0.39282040000000001</v>
      </c>
      <c r="G90" s="3">
        <f t="shared" si="13"/>
        <v>62.428108981851373</v>
      </c>
      <c r="H90" s="22" t="s">
        <v>637</v>
      </c>
      <c r="I90" s="22">
        <f t="shared" si="18"/>
        <v>14.999999999999947</v>
      </c>
      <c r="J90" s="5">
        <f t="shared" si="19"/>
        <v>936.42163472776724</v>
      </c>
      <c r="K90" s="22"/>
      <c r="L90" s="22"/>
      <c r="M90" s="1">
        <v>43924</v>
      </c>
      <c r="N90" s="2">
        <v>0.52083333333333337</v>
      </c>
      <c r="O90" s="22">
        <v>0</v>
      </c>
      <c r="P90" s="22">
        <v>0.97499999999999998</v>
      </c>
      <c r="Q90" s="22">
        <v>16.37</v>
      </c>
      <c r="R90" s="3">
        <f t="shared" si="14"/>
        <v>0.326235</v>
      </c>
      <c r="S90" s="3">
        <f t="shared" si="15"/>
        <v>38.660582950516563</v>
      </c>
      <c r="T90" s="22" t="s">
        <v>638</v>
      </c>
      <c r="U90" s="22">
        <f t="shared" si="20"/>
        <v>14.999999999999947</v>
      </c>
      <c r="V90" s="5">
        <f t="shared" si="21"/>
        <v>579.90874425774643</v>
      </c>
      <c r="W90" s="22"/>
      <c r="X90" s="22"/>
      <c r="Y90" s="1">
        <v>43924</v>
      </c>
      <c r="Z90" s="2">
        <v>0.52083333333333337</v>
      </c>
      <c r="AA90" s="22">
        <v>0</v>
      </c>
      <c r="AB90" s="22">
        <v>1.5469999999999999</v>
      </c>
      <c r="AC90" s="22">
        <v>14.939</v>
      </c>
      <c r="AD90" s="3">
        <f t="shared" si="16"/>
        <v>0.51762620000000004</v>
      </c>
      <c r="AE90" s="4">
        <f t="shared" si="17"/>
        <v>123.08986962470553</v>
      </c>
      <c r="AF90" s="22" t="s">
        <v>639</v>
      </c>
      <c r="AG90" s="22">
        <f t="shared" si="22"/>
        <v>14.999999999999947</v>
      </c>
      <c r="AH90" s="5">
        <f t="shared" si="23"/>
        <v>1846.3480443705764</v>
      </c>
    </row>
    <row r="91" spans="1:34">
      <c r="A91" s="1">
        <v>43924</v>
      </c>
      <c r="B91" s="2">
        <v>0.53125</v>
      </c>
      <c r="C91" s="22">
        <v>0</v>
      </c>
      <c r="D91" s="22">
        <v>1.153</v>
      </c>
      <c r="E91" s="22">
        <v>14.416</v>
      </c>
      <c r="F91" s="3">
        <f t="shared" si="12"/>
        <v>0.38579380000000002</v>
      </c>
      <c r="G91" s="3">
        <f t="shared" si="13"/>
        <v>59.587628659178108</v>
      </c>
      <c r="H91" s="22" t="s">
        <v>637</v>
      </c>
      <c r="I91" s="22">
        <f t="shared" si="18"/>
        <v>14.999999999999947</v>
      </c>
      <c r="J91" s="5">
        <f t="shared" si="19"/>
        <v>893.81442988766844</v>
      </c>
      <c r="K91" s="22"/>
      <c r="L91" s="22"/>
      <c r="M91" s="1">
        <v>43924</v>
      </c>
      <c r="N91" s="2">
        <v>0.53125</v>
      </c>
      <c r="O91" s="22">
        <v>0</v>
      </c>
      <c r="P91" s="22">
        <v>0.93100000000000005</v>
      </c>
      <c r="Q91" s="22">
        <v>16.491</v>
      </c>
      <c r="R91" s="3">
        <f t="shared" si="14"/>
        <v>0.31151260000000003</v>
      </c>
      <c r="S91" s="3">
        <f t="shared" si="15"/>
        <v>34.31837114807913</v>
      </c>
      <c r="T91" s="22" t="s">
        <v>638</v>
      </c>
      <c r="U91" s="22">
        <f t="shared" si="20"/>
        <v>14.999999999999947</v>
      </c>
      <c r="V91" s="5">
        <f t="shared" si="21"/>
        <v>514.77556722118516</v>
      </c>
      <c r="W91" s="22"/>
      <c r="X91" s="22"/>
      <c r="Y91" s="1">
        <v>43924</v>
      </c>
      <c r="Z91" s="2">
        <v>0.53125</v>
      </c>
      <c r="AA91" s="22">
        <v>0</v>
      </c>
      <c r="AB91" s="22">
        <v>1.4950000000000001</v>
      </c>
      <c r="AC91" s="22">
        <v>14.994999999999999</v>
      </c>
      <c r="AD91" s="3">
        <f t="shared" si="16"/>
        <v>0.50022700000000009</v>
      </c>
      <c r="AE91" s="4">
        <f t="shared" si="17"/>
        <v>112.5043003949681</v>
      </c>
      <c r="AF91" s="22" t="s">
        <v>639</v>
      </c>
      <c r="AG91" s="22">
        <f t="shared" si="22"/>
        <v>14.999999999999947</v>
      </c>
      <c r="AH91" s="5">
        <f t="shared" si="23"/>
        <v>1687.5645059245155</v>
      </c>
    </row>
    <row r="92" spans="1:34">
      <c r="A92" s="1">
        <v>43924</v>
      </c>
      <c r="B92" s="2">
        <v>0.54166666666666663</v>
      </c>
      <c r="C92" s="22">
        <v>0</v>
      </c>
      <c r="D92" s="22">
        <v>1.1220000000000001</v>
      </c>
      <c r="E92" s="22">
        <v>15.074999999999999</v>
      </c>
      <c r="F92" s="3">
        <f t="shared" si="12"/>
        <v>0.37542120000000007</v>
      </c>
      <c r="G92" s="3">
        <f t="shared" si="13"/>
        <v>55.541558341681473</v>
      </c>
      <c r="H92" s="22" t="s">
        <v>637</v>
      </c>
      <c r="I92" s="22">
        <f t="shared" si="18"/>
        <v>15.000000000000107</v>
      </c>
      <c r="J92" s="5">
        <f t="shared" si="19"/>
        <v>833.12337512522799</v>
      </c>
      <c r="K92" s="22"/>
      <c r="L92" s="22"/>
      <c r="M92" s="1">
        <v>43924</v>
      </c>
      <c r="N92" s="2">
        <v>0.54166666666666663</v>
      </c>
      <c r="O92" s="22">
        <v>0</v>
      </c>
      <c r="P92" s="22">
        <v>0.89</v>
      </c>
      <c r="Q92" s="22">
        <v>16.539000000000001</v>
      </c>
      <c r="R92" s="3">
        <f t="shared" si="14"/>
        <v>0.297794</v>
      </c>
      <c r="S92" s="3">
        <f t="shared" si="15"/>
        <v>30.553622394257772</v>
      </c>
      <c r="T92" s="22" t="s">
        <v>638</v>
      </c>
      <c r="U92" s="22">
        <f t="shared" si="20"/>
        <v>15.000000000000107</v>
      </c>
      <c r="V92" s="5">
        <f t="shared" si="21"/>
        <v>458.30433591386986</v>
      </c>
      <c r="W92" s="22"/>
      <c r="X92" s="22"/>
      <c r="Y92" s="1">
        <v>43924</v>
      </c>
      <c r="Z92" s="2">
        <v>0.54166666666666663</v>
      </c>
      <c r="AA92" s="22">
        <v>0</v>
      </c>
      <c r="AB92" s="22">
        <v>1.462</v>
      </c>
      <c r="AC92" s="22">
        <v>15.058</v>
      </c>
      <c r="AD92" s="3">
        <f t="shared" si="16"/>
        <v>0.48918519999999999</v>
      </c>
      <c r="AE92" s="4">
        <f t="shared" si="17"/>
        <v>106.08998222686513</v>
      </c>
      <c r="AF92" s="22" t="s">
        <v>639</v>
      </c>
      <c r="AG92" s="22">
        <f t="shared" si="22"/>
        <v>15.000000000000107</v>
      </c>
      <c r="AH92" s="5">
        <f t="shared" si="23"/>
        <v>1591.3497334029882</v>
      </c>
    </row>
    <row r="93" spans="1:34">
      <c r="A93" s="1">
        <v>43924</v>
      </c>
      <c r="B93" s="2">
        <v>0.55208333333333337</v>
      </c>
      <c r="C93" s="22">
        <v>0</v>
      </c>
      <c r="D93" s="22">
        <v>1.05</v>
      </c>
      <c r="E93" s="22">
        <v>15.566000000000001</v>
      </c>
      <c r="F93" s="3">
        <f t="shared" si="12"/>
        <v>0.35133000000000003</v>
      </c>
      <c r="G93" s="3">
        <f t="shared" si="13"/>
        <v>46.806361385613279</v>
      </c>
      <c r="H93" s="22" t="s">
        <v>637</v>
      </c>
      <c r="I93" s="22">
        <f t="shared" si="18"/>
        <v>14.999999999999947</v>
      </c>
      <c r="J93" s="5">
        <f t="shared" si="19"/>
        <v>702.09542078419668</v>
      </c>
      <c r="K93" s="22"/>
      <c r="L93" s="22"/>
      <c r="M93" s="1">
        <v>43924</v>
      </c>
      <c r="N93" s="2">
        <v>0.55208333333333337</v>
      </c>
      <c r="O93" s="22">
        <v>0</v>
      </c>
      <c r="P93" s="22">
        <v>0.83899999999999997</v>
      </c>
      <c r="Q93" s="22">
        <v>16.568000000000001</v>
      </c>
      <c r="R93" s="3">
        <f t="shared" si="14"/>
        <v>0.28072940000000002</v>
      </c>
      <c r="S93" s="3">
        <f t="shared" si="15"/>
        <v>26.238702096945502</v>
      </c>
      <c r="T93" s="22" t="s">
        <v>638</v>
      </c>
      <c r="U93" s="22">
        <f t="shared" si="20"/>
        <v>14.999999999999947</v>
      </c>
      <c r="V93" s="5">
        <f t="shared" si="21"/>
        <v>393.58053145418114</v>
      </c>
      <c r="W93" s="22"/>
      <c r="X93" s="22"/>
      <c r="Y93" s="1">
        <v>43924</v>
      </c>
      <c r="Z93" s="2">
        <v>0.55208333333333337</v>
      </c>
      <c r="AA93" s="22">
        <v>0</v>
      </c>
      <c r="AB93" s="22">
        <v>1.417</v>
      </c>
      <c r="AC93" s="22">
        <v>15.138</v>
      </c>
      <c r="AD93" s="3">
        <f t="shared" si="16"/>
        <v>0.4741282</v>
      </c>
      <c r="AE93" s="4">
        <f t="shared" si="17"/>
        <v>97.715957693011489</v>
      </c>
      <c r="AF93" s="22" t="s">
        <v>639</v>
      </c>
      <c r="AG93" s="22">
        <f t="shared" si="22"/>
        <v>14.999999999999947</v>
      </c>
      <c r="AH93" s="5">
        <f t="shared" si="23"/>
        <v>1465.7393653951672</v>
      </c>
    </row>
    <row r="94" spans="1:34">
      <c r="A94" s="1">
        <v>43924</v>
      </c>
      <c r="B94" s="2">
        <v>0.5625</v>
      </c>
      <c r="C94" s="22">
        <v>0</v>
      </c>
      <c r="D94" s="22">
        <v>1.2010000000000001</v>
      </c>
      <c r="E94" s="22">
        <v>15.833</v>
      </c>
      <c r="F94" s="3">
        <f t="shared" si="12"/>
        <v>0.40185460000000001</v>
      </c>
      <c r="G94" s="3">
        <f t="shared" si="13"/>
        <v>66.199917608969287</v>
      </c>
      <c r="H94" s="22" t="s">
        <v>637</v>
      </c>
      <c r="I94" s="22">
        <f t="shared" si="18"/>
        <v>14.999999999999947</v>
      </c>
      <c r="J94" s="5">
        <f t="shared" si="19"/>
        <v>992.9987641345358</v>
      </c>
      <c r="K94" s="22"/>
      <c r="L94" s="22"/>
      <c r="M94" s="1">
        <v>43924</v>
      </c>
      <c r="N94" s="2">
        <v>0.5625</v>
      </c>
      <c r="O94" s="22">
        <v>0</v>
      </c>
      <c r="P94" s="22">
        <v>1.0349999999999999</v>
      </c>
      <c r="Q94" s="22">
        <v>16.675000000000001</v>
      </c>
      <c r="R94" s="3">
        <f t="shared" si="14"/>
        <v>0.34631099999999998</v>
      </c>
      <c r="S94" s="3">
        <f t="shared" si="15"/>
        <v>45.100628319280844</v>
      </c>
      <c r="T94" s="22" t="s">
        <v>638</v>
      </c>
      <c r="U94" s="22">
        <f t="shared" si="20"/>
        <v>14.999999999999947</v>
      </c>
      <c r="V94" s="5">
        <f t="shared" si="21"/>
        <v>676.50942478921024</v>
      </c>
      <c r="W94" s="22"/>
      <c r="X94" s="22"/>
      <c r="Y94" s="1">
        <v>43924</v>
      </c>
      <c r="Z94" s="2">
        <v>0.5625</v>
      </c>
      <c r="AA94" s="22">
        <v>0</v>
      </c>
      <c r="AB94" s="22">
        <v>1.587</v>
      </c>
      <c r="AC94" s="22">
        <v>15.257</v>
      </c>
      <c r="AD94" s="3">
        <f t="shared" si="16"/>
        <v>0.53101019999999999</v>
      </c>
      <c r="AE94" s="4">
        <f t="shared" si="17"/>
        <v>131.63764496001758</v>
      </c>
      <c r="AF94" s="22" t="s">
        <v>639</v>
      </c>
      <c r="AG94" s="22">
        <f t="shared" si="22"/>
        <v>14.999999999999947</v>
      </c>
      <c r="AH94" s="5">
        <f t="shared" si="23"/>
        <v>1974.5646744002568</v>
      </c>
    </row>
    <row r="95" spans="1:34">
      <c r="A95" s="1">
        <v>43924</v>
      </c>
      <c r="B95" s="2">
        <v>0.57291666666666663</v>
      </c>
      <c r="C95" s="22">
        <v>0</v>
      </c>
      <c r="D95" s="22">
        <v>1.157</v>
      </c>
      <c r="E95" s="22">
        <v>16.074999999999999</v>
      </c>
      <c r="F95" s="3">
        <f t="shared" si="12"/>
        <v>0.38713220000000004</v>
      </c>
      <c r="G95" s="3">
        <f t="shared" si="13"/>
        <v>60.122434228314177</v>
      </c>
      <c r="H95" s="22" t="s">
        <v>637</v>
      </c>
      <c r="I95" s="22">
        <f t="shared" si="18"/>
        <v>15.000000000000107</v>
      </c>
      <c r="J95" s="5">
        <f t="shared" si="19"/>
        <v>901.8365134247191</v>
      </c>
      <c r="K95" s="22"/>
      <c r="L95" s="22"/>
      <c r="M95" s="1">
        <v>43924</v>
      </c>
      <c r="N95" s="2">
        <v>0.57291666666666663</v>
      </c>
      <c r="O95" s="22">
        <v>0</v>
      </c>
      <c r="P95" s="22">
        <v>0.97299999999999998</v>
      </c>
      <c r="Q95" s="22">
        <v>16.443000000000001</v>
      </c>
      <c r="R95" s="3">
        <f t="shared" si="14"/>
        <v>0.32556580000000002</v>
      </c>
      <c r="S95" s="3">
        <f t="shared" si="15"/>
        <v>38.456310681378341</v>
      </c>
      <c r="T95" s="22" t="s">
        <v>638</v>
      </c>
      <c r="U95" s="22">
        <f t="shared" si="20"/>
        <v>15.000000000000107</v>
      </c>
      <c r="V95" s="5">
        <f t="shared" si="21"/>
        <v>576.8446602206792</v>
      </c>
      <c r="W95" s="22"/>
      <c r="X95" s="22"/>
      <c r="Y95" s="1">
        <v>43924</v>
      </c>
      <c r="Z95" s="2">
        <v>0.57291666666666663</v>
      </c>
      <c r="AA95" s="22">
        <v>0</v>
      </c>
      <c r="AB95" s="22">
        <v>1.5529999999999999</v>
      </c>
      <c r="AC95" s="22">
        <v>15.4</v>
      </c>
      <c r="AD95" s="3">
        <f t="shared" si="16"/>
        <v>0.51963380000000003</v>
      </c>
      <c r="AE95" s="4">
        <f t="shared" si="17"/>
        <v>124.34940605102787</v>
      </c>
      <c r="AF95" s="22" t="s">
        <v>639</v>
      </c>
      <c r="AG95" s="22">
        <f t="shared" si="22"/>
        <v>15.000000000000107</v>
      </c>
      <c r="AH95" s="5">
        <f t="shared" si="23"/>
        <v>1865.2410907654314</v>
      </c>
    </row>
    <row r="96" spans="1:34">
      <c r="A96" s="1">
        <v>43924</v>
      </c>
      <c r="B96" s="2">
        <v>0.58333333333333337</v>
      </c>
      <c r="C96" s="22">
        <v>0</v>
      </c>
      <c r="D96" s="22">
        <v>1.1100000000000001</v>
      </c>
      <c r="E96" s="22">
        <v>16.311</v>
      </c>
      <c r="F96" s="3">
        <f t="shared" si="12"/>
        <v>0.37140600000000007</v>
      </c>
      <c r="G96" s="3">
        <f t="shared" si="13"/>
        <v>54.021890103425683</v>
      </c>
      <c r="H96" s="22" t="s">
        <v>637</v>
      </c>
      <c r="I96" s="22">
        <f t="shared" si="18"/>
        <v>14.999999999999947</v>
      </c>
      <c r="J96" s="5">
        <f t="shared" si="19"/>
        <v>810.32835155138241</v>
      </c>
      <c r="K96" s="22"/>
      <c r="L96" s="22"/>
      <c r="M96" s="1">
        <v>43924</v>
      </c>
      <c r="N96" s="2">
        <v>0.58333333333333337</v>
      </c>
      <c r="O96" s="22">
        <v>0</v>
      </c>
      <c r="P96" s="22">
        <v>0.93600000000000005</v>
      </c>
      <c r="Q96" s="22">
        <v>16.577000000000002</v>
      </c>
      <c r="R96" s="3">
        <f t="shared" si="14"/>
        <v>0.31318560000000001</v>
      </c>
      <c r="S96" s="3">
        <f t="shared" si="15"/>
        <v>34.795908454113849</v>
      </c>
      <c r="T96" s="22" t="s">
        <v>638</v>
      </c>
      <c r="U96" s="22">
        <f t="shared" si="20"/>
        <v>14.999999999999947</v>
      </c>
      <c r="V96" s="5">
        <f t="shared" si="21"/>
        <v>521.93862681170594</v>
      </c>
      <c r="W96" s="22"/>
      <c r="X96" s="22"/>
      <c r="Y96" s="1">
        <v>43924</v>
      </c>
      <c r="Z96" s="2">
        <v>0.58333333333333337</v>
      </c>
      <c r="AA96" s="22">
        <v>0</v>
      </c>
      <c r="AB96" s="22">
        <v>1.494</v>
      </c>
      <c r="AC96" s="22">
        <v>15.513</v>
      </c>
      <c r="AD96" s="3">
        <f t="shared" si="16"/>
        <v>0.49989240000000001</v>
      </c>
      <c r="AE96" s="4">
        <f t="shared" si="17"/>
        <v>112.30649101026725</v>
      </c>
      <c r="AF96" s="22" t="s">
        <v>639</v>
      </c>
      <c r="AG96" s="22">
        <f t="shared" si="22"/>
        <v>14.999999999999947</v>
      </c>
      <c r="AH96" s="5">
        <f t="shared" si="23"/>
        <v>1684.5973651540028</v>
      </c>
    </row>
    <row r="97" spans="1:34">
      <c r="A97" s="1">
        <v>43924</v>
      </c>
      <c r="B97" s="2">
        <v>0.59375</v>
      </c>
      <c r="C97" s="22">
        <v>0</v>
      </c>
      <c r="D97" s="22">
        <v>1.052</v>
      </c>
      <c r="E97" s="22">
        <v>16.481000000000002</v>
      </c>
      <c r="F97" s="3">
        <f t="shared" si="12"/>
        <v>0.35199920000000001</v>
      </c>
      <c r="G97" s="3">
        <f t="shared" si="13"/>
        <v>47.036727471226911</v>
      </c>
      <c r="H97" s="22" t="s">
        <v>637</v>
      </c>
      <c r="I97" s="22">
        <f t="shared" si="18"/>
        <v>14.999999999999947</v>
      </c>
      <c r="J97" s="5">
        <f t="shared" si="19"/>
        <v>705.5509120684012</v>
      </c>
      <c r="K97" s="22"/>
      <c r="L97" s="22"/>
      <c r="M97" s="1">
        <v>43924</v>
      </c>
      <c r="N97" s="2">
        <v>0.59375</v>
      </c>
      <c r="O97" s="22">
        <v>0</v>
      </c>
      <c r="P97" s="22">
        <v>0.89500000000000002</v>
      </c>
      <c r="Q97" s="22">
        <v>16.760000000000002</v>
      </c>
      <c r="R97" s="3">
        <f t="shared" si="14"/>
        <v>0.29946700000000004</v>
      </c>
      <c r="S97" s="3">
        <f t="shared" si="15"/>
        <v>30.998445886888806</v>
      </c>
      <c r="T97" s="22" t="s">
        <v>638</v>
      </c>
      <c r="U97" s="22">
        <f t="shared" si="20"/>
        <v>14.999999999999947</v>
      </c>
      <c r="V97" s="5">
        <f t="shared" si="21"/>
        <v>464.97668830333043</v>
      </c>
      <c r="W97" s="22"/>
      <c r="X97" s="22"/>
      <c r="Y97" s="1">
        <v>43924</v>
      </c>
      <c r="Z97" s="2">
        <v>0.59375</v>
      </c>
      <c r="AA97" s="22">
        <v>0</v>
      </c>
      <c r="AB97" s="22">
        <v>1.454</v>
      </c>
      <c r="AC97" s="22">
        <v>15.614000000000001</v>
      </c>
      <c r="AD97" s="3">
        <f t="shared" si="16"/>
        <v>0.48650840000000001</v>
      </c>
      <c r="AE97" s="4">
        <f t="shared" si="17"/>
        <v>104.57001632369878</v>
      </c>
      <c r="AF97" s="22" t="s">
        <v>639</v>
      </c>
      <c r="AG97" s="22">
        <f t="shared" si="22"/>
        <v>14.999999999999947</v>
      </c>
      <c r="AH97" s="5">
        <f t="shared" si="23"/>
        <v>1568.5502448554762</v>
      </c>
    </row>
    <row r="98" spans="1:34">
      <c r="A98" s="1">
        <v>43924</v>
      </c>
      <c r="B98" s="2">
        <v>0.60416666666666663</v>
      </c>
      <c r="C98" s="22">
        <v>0</v>
      </c>
      <c r="D98" s="22">
        <v>1.173</v>
      </c>
      <c r="E98" s="22">
        <v>16.486999999999998</v>
      </c>
      <c r="F98" s="3">
        <f t="shared" si="12"/>
        <v>0.39248580000000005</v>
      </c>
      <c r="G98" s="3">
        <f t="shared" si="13"/>
        <v>62.291008337393087</v>
      </c>
      <c r="H98" s="22" t="s">
        <v>637</v>
      </c>
      <c r="I98" s="22">
        <v>15</v>
      </c>
      <c r="J98" s="5">
        <f t="shared" si="19"/>
        <v>934.36512506089628</v>
      </c>
      <c r="K98" s="22"/>
      <c r="L98" s="22"/>
      <c r="M98" s="1">
        <v>43924</v>
      </c>
      <c r="N98" s="2">
        <v>0.60416666666666663</v>
      </c>
      <c r="O98" s="22">
        <v>0</v>
      </c>
      <c r="P98" s="22">
        <v>1.03</v>
      </c>
      <c r="Q98" s="22">
        <v>16.837</v>
      </c>
      <c r="R98" s="3">
        <f t="shared" si="14"/>
        <v>0.344638</v>
      </c>
      <c r="S98" s="3">
        <f t="shared" si="15"/>
        <v>44.540647844632623</v>
      </c>
      <c r="T98" s="22" t="s">
        <v>638</v>
      </c>
      <c r="U98" s="22">
        <v>15</v>
      </c>
      <c r="V98" s="5">
        <f t="shared" si="21"/>
        <v>668.10971766948933</v>
      </c>
      <c r="W98" s="22"/>
      <c r="X98" s="22"/>
      <c r="Y98" s="1">
        <v>43924</v>
      </c>
      <c r="Z98" s="2">
        <v>0.60416666666666663</v>
      </c>
      <c r="AA98" s="22">
        <v>0</v>
      </c>
      <c r="AB98" s="22">
        <v>1.597</v>
      </c>
      <c r="AC98" s="22">
        <v>15.702999999999999</v>
      </c>
      <c r="AD98" s="3">
        <f t="shared" si="16"/>
        <v>0.53435620000000006</v>
      </c>
      <c r="AE98" s="4">
        <f t="shared" si="17"/>
        <v>133.83038153982992</v>
      </c>
      <c r="AF98" s="22" t="s">
        <v>639</v>
      </c>
      <c r="AG98" s="22">
        <v>15</v>
      </c>
      <c r="AH98" s="5">
        <f t="shared" si="23"/>
        <v>2007.4557230974488</v>
      </c>
    </row>
  </sheetData>
  <sheetProtection sheet="1" objects="1" scenarios="1"/>
  <conditionalFormatting sqref="F2:F98">
    <cfRule type="cellIs" dxfId="9" priority="3" operator="lessThan">
      <formula>0.15</formula>
    </cfRule>
  </conditionalFormatting>
  <conditionalFormatting sqref="R2:R98">
    <cfRule type="cellIs" dxfId="8" priority="2" operator="lessThan">
      <formula>0.15</formula>
    </cfRule>
  </conditionalFormatting>
  <conditionalFormatting sqref="AD2:AD98">
    <cfRule type="cellIs" dxfId="7" priority="1" operator="lessThan">
      <formula>0.15</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E7C0-7CB3-4763-90B9-1258B03E93A3}">
  <sheetPr>
    <tabColor theme="5" tint="0.59999389629810485"/>
  </sheetPr>
  <dimension ref="A1:K98"/>
  <sheetViews>
    <sheetView workbookViewId="0">
      <selection activeCell="A2" sqref="A2"/>
    </sheetView>
  </sheetViews>
  <sheetFormatPr defaultRowHeight="15"/>
  <cols>
    <col min="1" max="1" width="8.42578125" bestFit="1" customWidth="1"/>
    <col min="2" max="2" width="11.28515625" bestFit="1" customWidth="1"/>
    <col min="3" max="3" width="3.42578125" bestFit="1" customWidth="1"/>
    <col min="4" max="4" width="9.140625" bestFit="1" customWidth="1"/>
    <col min="5" max="5" width="13.28515625" bestFit="1" customWidth="1"/>
    <col min="6" max="6" width="8.85546875" bestFit="1" customWidth="1"/>
    <col min="7" max="7" width="10.7109375" bestFit="1" customWidth="1"/>
    <col min="8" max="8" width="8" bestFit="1" customWidth="1"/>
    <col min="9" max="9" width="7.85546875" bestFit="1" customWidth="1"/>
    <col min="10" max="10" width="11.85546875" bestFit="1" customWidth="1"/>
    <col min="11" max="11" width="16.7109375" bestFit="1" customWidth="1"/>
  </cols>
  <sheetData>
    <row r="1" spans="1:11">
      <c r="A1" s="22" t="s">
        <v>244</v>
      </c>
      <c r="B1" s="22" t="s">
        <v>245</v>
      </c>
      <c r="C1" s="22" t="s">
        <v>622</v>
      </c>
      <c r="D1" s="22" t="s">
        <v>623</v>
      </c>
      <c r="E1" s="22" t="s">
        <v>624</v>
      </c>
      <c r="F1" s="22" t="s">
        <v>625</v>
      </c>
      <c r="G1" s="22" t="s">
        <v>626</v>
      </c>
      <c r="H1" s="22" t="s">
        <v>117</v>
      </c>
      <c r="I1" s="22" t="s">
        <v>627</v>
      </c>
      <c r="J1" s="22" t="s">
        <v>628</v>
      </c>
      <c r="K1" s="22" t="s">
        <v>634</v>
      </c>
    </row>
    <row r="2" spans="1:11">
      <c r="A2" s="1">
        <v>43923</v>
      </c>
      <c r="B2" s="2">
        <v>0.60416666666666663</v>
      </c>
      <c r="C2" s="22">
        <v>0</v>
      </c>
      <c r="D2" s="22">
        <v>1.369</v>
      </c>
      <c r="E2" s="22">
        <v>14.202999999999999</v>
      </c>
      <c r="F2" s="3">
        <f t="shared" ref="F2:F65" si="0">D2*0.3346</f>
        <v>0.45806740000000001</v>
      </c>
      <c r="G2" s="4">
        <f t="shared" ref="G2:G65" si="1">695.6*(F2^2.63)</f>
        <v>89.249102040330826</v>
      </c>
      <c r="H2" s="22" t="s">
        <v>640</v>
      </c>
      <c r="I2" s="22">
        <f>CONVERT((B3-B2),"day","mn")</f>
        <v>15.000000000000107</v>
      </c>
      <c r="J2" s="5">
        <f>G2*I2</f>
        <v>1338.7365306049719</v>
      </c>
      <c r="K2" s="5">
        <f>SUM(J2:J98)</f>
        <v>91404.59364757601</v>
      </c>
    </row>
    <row r="3" spans="1:11">
      <c r="A3" s="1">
        <v>43923</v>
      </c>
      <c r="B3" s="2">
        <v>0.61458333333333337</v>
      </c>
      <c r="C3" s="22">
        <v>0</v>
      </c>
      <c r="D3" s="22">
        <v>1.3380000000000001</v>
      </c>
      <c r="E3" s="22">
        <v>14.252000000000001</v>
      </c>
      <c r="F3" s="3">
        <f t="shared" si="0"/>
        <v>0.44769480000000006</v>
      </c>
      <c r="G3" s="4">
        <f t="shared" si="1"/>
        <v>84.031548182773463</v>
      </c>
      <c r="H3" s="22" t="s">
        <v>640</v>
      </c>
      <c r="I3" s="22">
        <f t="shared" ref="I3:I66" si="2">CONVERT((B4-B3),"day","mn")</f>
        <v>14.999999999999947</v>
      </c>
      <c r="J3" s="5">
        <f t="shared" ref="J3:J66" si="3">G3*I3</f>
        <v>1260.4732227415975</v>
      </c>
      <c r="K3" s="22"/>
    </row>
    <row r="4" spans="1:11">
      <c r="A4" s="1">
        <v>43923</v>
      </c>
      <c r="B4" s="2">
        <v>0.625</v>
      </c>
      <c r="C4" s="22">
        <v>0</v>
      </c>
      <c r="D4" s="22">
        <v>1.2969999999999999</v>
      </c>
      <c r="E4" s="22">
        <v>14.295</v>
      </c>
      <c r="F4" s="3">
        <f t="shared" si="0"/>
        <v>0.43397619999999998</v>
      </c>
      <c r="G4" s="4">
        <f t="shared" si="1"/>
        <v>77.427444177098565</v>
      </c>
      <c r="H4" s="22" t="s">
        <v>640</v>
      </c>
      <c r="I4" s="22">
        <f t="shared" si="2"/>
        <v>14.999999999999947</v>
      </c>
      <c r="J4" s="5">
        <f t="shared" si="3"/>
        <v>1161.4116626564744</v>
      </c>
      <c r="K4" s="22"/>
    </row>
    <row r="5" spans="1:11">
      <c r="A5" s="1">
        <v>43923</v>
      </c>
      <c r="B5" s="2">
        <v>0.63541666666666663</v>
      </c>
      <c r="C5" s="22">
        <v>0</v>
      </c>
      <c r="D5" s="22">
        <v>1.2689999999999999</v>
      </c>
      <c r="E5" s="22">
        <v>14.319000000000001</v>
      </c>
      <c r="F5" s="3">
        <f t="shared" si="0"/>
        <v>0.42460739999999997</v>
      </c>
      <c r="G5" s="4">
        <f t="shared" si="1"/>
        <v>73.10832819164284</v>
      </c>
      <c r="H5" s="22" t="s">
        <v>640</v>
      </c>
      <c r="I5" s="22">
        <f t="shared" si="2"/>
        <v>15.000000000000107</v>
      </c>
      <c r="J5" s="5">
        <f t="shared" si="3"/>
        <v>1096.6249228746503</v>
      </c>
      <c r="K5" s="22"/>
    </row>
    <row r="6" spans="1:11">
      <c r="A6" s="1">
        <v>43923</v>
      </c>
      <c r="B6" s="2">
        <v>0.64583333333333337</v>
      </c>
      <c r="C6" s="22">
        <v>0</v>
      </c>
      <c r="D6" s="22">
        <v>1.2849999999999999</v>
      </c>
      <c r="E6" s="22">
        <v>14.345000000000001</v>
      </c>
      <c r="F6" s="3">
        <f t="shared" si="0"/>
        <v>0.42996099999999998</v>
      </c>
      <c r="G6" s="4">
        <f t="shared" si="1"/>
        <v>75.557575263389012</v>
      </c>
      <c r="H6" s="22" t="s">
        <v>640</v>
      </c>
      <c r="I6" s="22">
        <f t="shared" si="2"/>
        <v>14.999999999999947</v>
      </c>
      <c r="J6" s="5">
        <f t="shared" si="3"/>
        <v>1133.3636289508311</v>
      </c>
      <c r="K6" s="22"/>
    </row>
    <row r="7" spans="1:11">
      <c r="A7" s="1">
        <v>43923</v>
      </c>
      <c r="B7" s="2">
        <v>0.65625</v>
      </c>
      <c r="C7" s="22">
        <v>0</v>
      </c>
      <c r="D7" s="22">
        <v>1.268</v>
      </c>
      <c r="E7" s="22">
        <v>14.361000000000001</v>
      </c>
      <c r="F7" s="3">
        <f t="shared" si="0"/>
        <v>0.42427280000000001</v>
      </c>
      <c r="G7" s="4">
        <f t="shared" si="1"/>
        <v>72.956908619275112</v>
      </c>
      <c r="H7" s="22" t="s">
        <v>640</v>
      </c>
      <c r="I7" s="22">
        <f t="shared" si="2"/>
        <v>14.999999999999947</v>
      </c>
      <c r="J7" s="5">
        <f t="shared" si="3"/>
        <v>1094.3536292891229</v>
      </c>
      <c r="K7" s="22"/>
    </row>
    <row r="8" spans="1:11">
      <c r="A8" s="1">
        <v>43923</v>
      </c>
      <c r="B8" s="2">
        <v>0.66666666666666663</v>
      </c>
      <c r="C8" s="22">
        <v>0</v>
      </c>
      <c r="D8" s="22">
        <v>1.2490000000000001</v>
      </c>
      <c r="E8" s="22">
        <v>14.368</v>
      </c>
      <c r="F8" s="3">
        <f t="shared" si="0"/>
        <v>0.41791540000000005</v>
      </c>
      <c r="G8" s="4">
        <f t="shared" si="1"/>
        <v>70.116785808278649</v>
      </c>
      <c r="H8" s="22" t="s">
        <v>640</v>
      </c>
      <c r="I8" s="22">
        <f t="shared" si="2"/>
        <v>15.000000000000107</v>
      </c>
      <c r="J8" s="5">
        <f t="shared" si="3"/>
        <v>1051.7517871241871</v>
      </c>
      <c r="K8" s="22"/>
    </row>
    <row r="9" spans="1:11">
      <c r="A9" s="1">
        <v>43923</v>
      </c>
      <c r="B9" s="2">
        <v>0.67708333333333337</v>
      </c>
      <c r="C9" s="22">
        <v>0</v>
      </c>
      <c r="D9" s="22">
        <v>1.2270000000000001</v>
      </c>
      <c r="E9" s="22">
        <v>14.377000000000001</v>
      </c>
      <c r="F9" s="3">
        <f t="shared" si="0"/>
        <v>0.41055420000000004</v>
      </c>
      <c r="G9" s="4">
        <f t="shared" si="1"/>
        <v>66.915077706367597</v>
      </c>
      <c r="H9" s="22" t="s">
        <v>640</v>
      </c>
      <c r="I9" s="22">
        <f t="shared" si="2"/>
        <v>14.999999999999947</v>
      </c>
      <c r="J9" s="5">
        <f t="shared" si="3"/>
        <v>1003.7261655955105</v>
      </c>
      <c r="K9" s="22"/>
    </row>
    <row r="10" spans="1:11">
      <c r="A10" s="1">
        <v>43923</v>
      </c>
      <c r="B10" s="2">
        <v>0.6875</v>
      </c>
      <c r="C10" s="22">
        <v>0</v>
      </c>
      <c r="D10" s="22">
        <v>1.234</v>
      </c>
      <c r="E10" s="22">
        <v>14.381</v>
      </c>
      <c r="F10" s="3">
        <f t="shared" si="0"/>
        <v>0.4128964</v>
      </c>
      <c r="G10" s="4">
        <f t="shared" si="1"/>
        <v>67.923750283817853</v>
      </c>
      <c r="H10" s="22" t="s">
        <v>640</v>
      </c>
      <c r="I10" s="22">
        <f t="shared" si="2"/>
        <v>14.999999999999947</v>
      </c>
      <c r="J10" s="5">
        <f t="shared" si="3"/>
        <v>1018.8562542572641</v>
      </c>
      <c r="K10" s="22"/>
    </row>
    <row r="11" spans="1:11">
      <c r="A11" s="1">
        <v>43923</v>
      </c>
      <c r="B11" s="2">
        <v>0.69791666666666663</v>
      </c>
      <c r="C11" s="22">
        <v>0</v>
      </c>
      <c r="D11" s="22">
        <v>1.2310000000000001</v>
      </c>
      <c r="E11" s="22">
        <v>14.377000000000001</v>
      </c>
      <c r="F11" s="3">
        <f t="shared" si="0"/>
        <v>0.41189260000000005</v>
      </c>
      <c r="G11" s="4">
        <f t="shared" si="1"/>
        <v>67.490316666357032</v>
      </c>
      <c r="H11" s="22" t="s">
        <v>640</v>
      </c>
      <c r="I11" s="22">
        <f t="shared" si="2"/>
        <v>15.000000000000107</v>
      </c>
      <c r="J11" s="5">
        <f t="shared" si="3"/>
        <v>1012.3547499953627</v>
      </c>
      <c r="K11" s="22"/>
    </row>
    <row r="12" spans="1:11">
      <c r="A12" s="1">
        <v>43923</v>
      </c>
      <c r="B12" s="2">
        <v>0.70833333333333337</v>
      </c>
      <c r="C12" s="22">
        <v>0</v>
      </c>
      <c r="D12" s="22">
        <v>1.2310000000000001</v>
      </c>
      <c r="E12" s="22">
        <v>14.372</v>
      </c>
      <c r="F12" s="3">
        <f t="shared" si="0"/>
        <v>0.41189260000000005</v>
      </c>
      <c r="G12" s="4">
        <f t="shared" si="1"/>
        <v>67.490316666357032</v>
      </c>
      <c r="H12" s="22" t="s">
        <v>640</v>
      </c>
      <c r="I12" s="22">
        <f t="shared" si="2"/>
        <v>14.999999999999947</v>
      </c>
      <c r="J12" s="5">
        <f t="shared" si="3"/>
        <v>1012.3547499953519</v>
      </c>
      <c r="K12" s="22"/>
    </row>
    <row r="13" spans="1:11">
      <c r="A13" s="1">
        <v>43923</v>
      </c>
      <c r="B13" s="2">
        <v>0.71875</v>
      </c>
      <c r="C13" s="22">
        <v>0</v>
      </c>
      <c r="D13" s="22">
        <v>1.242</v>
      </c>
      <c r="E13" s="22">
        <v>14.411</v>
      </c>
      <c r="F13" s="3">
        <f t="shared" si="0"/>
        <v>0.41557320000000003</v>
      </c>
      <c r="G13" s="4">
        <f t="shared" si="1"/>
        <v>69.087994124277202</v>
      </c>
      <c r="H13" s="22" t="s">
        <v>640</v>
      </c>
      <c r="I13" s="22">
        <f t="shared" si="2"/>
        <v>14.999999999999947</v>
      </c>
      <c r="J13" s="5">
        <f t="shared" si="3"/>
        <v>1036.3199118641544</v>
      </c>
      <c r="K13" s="22"/>
    </row>
    <row r="14" spans="1:11">
      <c r="A14" s="1">
        <v>43923</v>
      </c>
      <c r="B14" s="2">
        <v>0.72916666666666663</v>
      </c>
      <c r="C14" s="22">
        <v>0</v>
      </c>
      <c r="D14" s="22">
        <v>1.1839999999999999</v>
      </c>
      <c r="E14" s="22">
        <v>14.422000000000001</v>
      </c>
      <c r="F14" s="3">
        <f t="shared" si="0"/>
        <v>0.39616639999999997</v>
      </c>
      <c r="G14" s="4">
        <f t="shared" si="1"/>
        <v>60.922506636547801</v>
      </c>
      <c r="H14" s="22" t="s">
        <v>640</v>
      </c>
      <c r="I14" s="22">
        <f t="shared" si="2"/>
        <v>15.000000000000107</v>
      </c>
      <c r="J14" s="5">
        <f t="shared" si="3"/>
        <v>913.83759954822347</v>
      </c>
      <c r="K14" s="22"/>
    </row>
    <row r="15" spans="1:11">
      <c r="A15" s="1">
        <v>43923</v>
      </c>
      <c r="B15" s="2">
        <v>0.73958333333333337</v>
      </c>
      <c r="C15" s="22">
        <v>0</v>
      </c>
      <c r="D15" s="22">
        <v>1.1870000000000001</v>
      </c>
      <c r="E15" s="22">
        <v>14.404</v>
      </c>
      <c r="F15" s="3">
        <f t="shared" si="0"/>
        <v>0.39717020000000003</v>
      </c>
      <c r="G15" s="4">
        <f t="shared" si="1"/>
        <v>61.329323970083671</v>
      </c>
      <c r="H15" s="22" t="s">
        <v>640</v>
      </c>
      <c r="I15" s="22">
        <f t="shared" si="2"/>
        <v>14.999999999999947</v>
      </c>
      <c r="J15" s="5">
        <f t="shared" si="3"/>
        <v>919.93985955125174</v>
      </c>
      <c r="K15" s="22"/>
    </row>
    <row r="16" spans="1:11">
      <c r="A16" s="1">
        <v>43923</v>
      </c>
      <c r="B16" s="2">
        <v>0.75</v>
      </c>
      <c r="C16" s="22">
        <v>0</v>
      </c>
      <c r="D16" s="22">
        <v>1.194</v>
      </c>
      <c r="E16" s="22">
        <v>14.385</v>
      </c>
      <c r="F16" s="3">
        <f t="shared" si="0"/>
        <v>0.39951239999999999</v>
      </c>
      <c r="G16" s="4">
        <f t="shared" si="1"/>
        <v>62.285100010163916</v>
      </c>
      <c r="H16" s="22" t="s">
        <v>640</v>
      </c>
      <c r="I16" s="22">
        <f t="shared" si="2"/>
        <v>14.999999999999947</v>
      </c>
      <c r="J16" s="5">
        <f t="shared" si="3"/>
        <v>934.27650015245547</v>
      </c>
      <c r="K16" s="22"/>
    </row>
    <row r="17" spans="1:10">
      <c r="A17" s="1">
        <v>43923</v>
      </c>
      <c r="B17" s="2">
        <v>0.76041666666666663</v>
      </c>
      <c r="C17" s="22">
        <v>0</v>
      </c>
      <c r="D17" s="22">
        <v>1.2110000000000001</v>
      </c>
      <c r="E17" s="22">
        <v>14.367000000000001</v>
      </c>
      <c r="F17" s="3">
        <f t="shared" si="0"/>
        <v>0.40520060000000002</v>
      </c>
      <c r="G17" s="4">
        <f t="shared" si="1"/>
        <v>64.644545014955582</v>
      </c>
      <c r="H17" s="22" t="s">
        <v>640</v>
      </c>
      <c r="I17" s="22">
        <f t="shared" si="2"/>
        <v>15.000000000000107</v>
      </c>
      <c r="J17" s="5">
        <f t="shared" si="3"/>
        <v>969.66817522434064</v>
      </c>
    </row>
    <row r="18" spans="1:10">
      <c r="A18" s="1">
        <v>43923</v>
      </c>
      <c r="B18" s="2">
        <v>0.77083333333333337</v>
      </c>
      <c r="C18" s="22">
        <v>0</v>
      </c>
      <c r="D18" s="22">
        <v>1.143</v>
      </c>
      <c r="E18" s="22">
        <v>14.336</v>
      </c>
      <c r="F18" s="3">
        <f t="shared" si="0"/>
        <v>0.3824478</v>
      </c>
      <c r="G18" s="4">
        <f t="shared" si="1"/>
        <v>55.529577943317143</v>
      </c>
      <c r="H18" s="22" t="s">
        <v>640</v>
      </c>
      <c r="I18" s="22">
        <f t="shared" si="2"/>
        <v>14.999999999999947</v>
      </c>
      <c r="J18" s="5">
        <f t="shared" si="3"/>
        <v>832.94366914975421</v>
      </c>
    </row>
    <row r="19" spans="1:10">
      <c r="A19" s="1">
        <v>43923</v>
      </c>
      <c r="B19" s="2">
        <v>0.78125</v>
      </c>
      <c r="C19" s="22">
        <v>0</v>
      </c>
      <c r="D19" s="22">
        <v>1.1659999999999999</v>
      </c>
      <c r="E19" s="22">
        <v>14.303000000000001</v>
      </c>
      <c r="F19" s="3">
        <f t="shared" si="0"/>
        <v>0.39014359999999998</v>
      </c>
      <c r="G19" s="4">
        <f t="shared" si="1"/>
        <v>58.516719914275193</v>
      </c>
      <c r="H19" s="22" t="s">
        <v>640</v>
      </c>
      <c r="I19" s="22">
        <f t="shared" si="2"/>
        <v>14.999999999999947</v>
      </c>
      <c r="J19" s="5">
        <f t="shared" si="3"/>
        <v>877.75079871412481</v>
      </c>
    </row>
    <row r="20" spans="1:10">
      <c r="A20" s="1">
        <v>43923</v>
      </c>
      <c r="B20" s="2">
        <v>0.79166666666666663</v>
      </c>
      <c r="C20" s="22">
        <v>0</v>
      </c>
      <c r="D20" s="22">
        <v>1.1850000000000001</v>
      </c>
      <c r="E20" s="22">
        <v>14.254</v>
      </c>
      <c r="F20" s="3">
        <f t="shared" si="0"/>
        <v>0.39650100000000005</v>
      </c>
      <c r="G20" s="4">
        <f t="shared" si="1"/>
        <v>61.057925980169266</v>
      </c>
      <c r="H20" s="22" t="s">
        <v>640</v>
      </c>
      <c r="I20" s="22">
        <f t="shared" si="2"/>
        <v>15.000000000000107</v>
      </c>
      <c r="J20" s="5">
        <f t="shared" si="3"/>
        <v>915.86888970254552</v>
      </c>
    </row>
    <row r="21" spans="1:10">
      <c r="A21" s="1">
        <v>43923</v>
      </c>
      <c r="B21" s="2">
        <v>0.80208333333333337</v>
      </c>
      <c r="C21" s="22">
        <v>0</v>
      </c>
      <c r="D21" s="22">
        <v>1.2</v>
      </c>
      <c r="E21" s="22">
        <v>14.22</v>
      </c>
      <c r="F21" s="3">
        <f t="shared" si="0"/>
        <v>0.40151999999999999</v>
      </c>
      <c r="G21" s="4">
        <f t="shared" si="1"/>
        <v>63.111639708888944</v>
      </c>
      <c r="H21" s="22" t="s">
        <v>640</v>
      </c>
      <c r="I21" s="22">
        <f t="shared" si="2"/>
        <v>14.999999999999947</v>
      </c>
      <c r="J21" s="5">
        <f t="shared" si="3"/>
        <v>946.6745956333308</v>
      </c>
    </row>
    <row r="22" spans="1:10">
      <c r="A22" s="1">
        <v>43923</v>
      </c>
      <c r="B22" s="2">
        <v>0.8125</v>
      </c>
      <c r="C22" s="22">
        <v>0</v>
      </c>
      <c r="D22" s="22">
        <v>1.0980000000000001</v>
      </c>
      <c r="E22" s="22">
        <v>14.170999999999999</v>
      </c>
      <c r="F22" s="3">
        <f t="shared" si="0"/>
        <v>0.36739080000000002</v>
      </c>
      <c r="G22" s="4">
        <f t="shared" si="1"/>
        <v>49.962819807640074</v>
      </c>
      <c r="H22" s="22" t="s">
        <v>640</v>
      </c>
      <c r="I22" s="22">
        <f t="shared" si="2"/>
        <v>14.999999999999947</v>
      </c>
      <c r="J22" s="5">
        <f t="shared" si="3"/>
        <v>749.44229711459843</v>
      </c>
    </row>
    <row r="23" spans="1:10">
      <c r="A23" s="1">
        <v>43923</v>
      </c>
      <c r="B23" s="2">
        <v>0.82291666666666663</v>
      </c>
      <c r="C23" s="22">
        <v>0</v>
      </c>
      <c r="D23" s="22">
        <v>1.1040000000000001</v>
      </c>
      <c r="E23" s="22">
        <v>14.105</v>
      </c>
      <c r="F23" s="3">
        <f t="shared" si="0"/>
        <v>0.36939840000000002</v>
      </c>
      <c r="G23" s="4">
        <f t="shared" si="1"/>
        <v>50.68406622236413</v>
      </c>
      <c r="H23" s="22" t="s">
        <v>640</v>
      </c>
      <c r="I23" s="22">
        <f t="shared" si="2"/>
        <v>15.000000000000107</v>
      </c>
      <c r="J23" s="5">
        <f t="shared" si="3"/>
        <v>760.26099333546733</v>
      </c>
    </row>
    <row r="24" spans="1:10">
      <c r="A24" s="1">
        <v>43923</v>
      </c>
      <c r="B24" s="2">
        <v>0.83333333333333337</v>
      </c>
      <c r="C24" s="22">
        <v>0</v>
      </c>
      <c r="D24" s="22">
        <v>1.1160000000000001</v>
      </c>
      <c r="E24" s="22">
        <v>14.038</v>
      </c>
      <c r="F24" s="3">
        <f t="shared" si="0"/>
        <v>0.37341360000000007</v>
      </c>
      <c r="G24" s="4">
        <f t="shared" si="1"/>
        <v>52.145834081071811</v>
      </c>
      <c r="H24" s="22" t="s">
        <v>640</v>
      </c>
      <c r="I24" s="22">
        <f t="shared" si="2"/>
        <v>14.999999999999947</v>
      </c>
      <c r="J24" s="5">
        <f t="shared" si="3"/>
        <v>782.18751121607443</v>
      </c>
    </row>
    <row r="25" spans="1:10">
      <c r="A25" s="1">
        <v>43923</v>
      </c>
      <c r="B25" s="2">
        <v>0.84375</v>
      </c>
      <c r="C25" s="22">
        <v>0</v>
      </c>
      <c r="D25" s="22">
        <v>1.135</v>
      </c>
      <c r="E25" s="22">
        <v>13.967000000000001</v>
      </c>
      <c r="F25" s="3">
        <f t="shared" si="0"/>
        <v>0.37977100000000003</v>
      </c>
      <c r="G25" s="4">
        <f t="shared" si="1"/>
        <v>54.513228370180805</v>
      </c>
      <c r="H25" s="22" t="s">
        <v>640</v>
      </c>
      <c r="I25" s="22">
        <f t="shared" si="2"/>
        <v>14.999999999999947</v>
      </c>
      <c r="J25" s="5">
        <f t="shared" si="3"/>
        <v>817.69842555270918</v>
      </c>
    </row>
    <row r="26" spans="1:10">
      <c r="A26" s="1">
        <v>43923</v>
      </c>
      <c r="B26" s="2">
        <v>0.85416666666666663</v>
      </c>
      <c r="C26" s="22">
        <v>0</v>
      </c>
      <c r="D26" s="22">
        <v>1.117</v>
      </c>
      <c r="E26" s="22">
        <v>13.894</v>
      </c>
      <c r="F26" s="3">
        <f t="shared" si="0"/>
        <v>0.37374820000000003</v>
      </c>
      <c r="G26" s="4">
        <f t="shared" si="1"/>
        <v>52.268812321742971</v>
      </c>
      <c r="H26" s="22" t="s">
        <v>640</v>
      </c>
      <c r="I26" s="22">
        <f t="shared" si="2"/>
        <v>15.000000000000107</v>
      </c>
      <c r="J26" s="5">
        <f t="shared" si="3"/>
        <v>784.03218482615011</v>
      </c>
    </row>
    <row r="27" spans="1:10">
      <c r="A27" s="1">
        <v>43923</v>
      </c>
      <c r="B27" s="2">
        <v>0.86458333333333337</v>
      </c>
      <c r="C27" s="22">
        <v>0</v>
      </c>
      <c r="D27" s="22">
        <v>1.145</v>
      </c>
      <c r="E27" s="22">
        <v>13.814</v>
      </c>
      <c r="F27" s="3">
        <f t="shared" si="0"/>
        <v>0.38311700000000004</v>
      </c>
      <c r="G27" s="4">
        <f t="shared" si="1"/>
        <v>55.785485439385504</v>
      </c>
      <c r="H27" s="22" t="s">
        <v>640</v>
      </c>
      <c r="I27" s="22">
        <f t="shared" si="2"/>
        <v>14.999999999999947</v>
      </c>
      <c r="J27" s="5">
        <f t="shared" si="3"/>
        <v>836.78228159077958</v>
      </c>
    </row>
    <row r="28" spans="1:10">
      <c r="A28" s="1">
        <v>43923</v>
      </c>
      <c r="B28" s="2">
        <v>0.875</v>
      </c>
      <c r="C28" s="22">
        <v>0</v>
      </c>
      <c r="D28" s="22">
        <v>1.1759999999999999</v>
      </c>
      <c r="E28" s="22">
        <v>13.739000000000001</v>
      </c>
      <c r="F28" s="3">
        <f t="shared" si="0"/>
        <v>0.39348959999999999</v>
      </c>
      <c r="G28" s="4">
        <f t="shared" si="1"/>
        <v>59.845850430330664</v>
      </c>
      <c r="H28" s="22" t="s">
        <v>640</v>
      </c>
      <c r="I28" s="22">
        <f t="shared" si="2"/>
        <v>14.999999999999947</v>
      </c>
      <c r="J28" s="5">
        <f t="shared" si="3"/>
        <v>897.6877564549568</v>
      </c>
    </row>
    <row r="29" spans="1:10">
      <c r="A29" s="1">
        <v>43923</v>
      </c>
      <c r="B29" s="2">
        <v>0.88541666666666663</v>
      </c>
      <c r="C29" s="22">
        <v>0</v>
      </c>
      <c r="D29" s="22">
        <v>1.1970000000000001</v>
      </c>
      <c r="E29" s="22">
        <v>13.662000000000001</v>
      </c>
      <c r="F29" s="3">
        <f t="shared" si="0"/>
        <v>0.40051620000000004</v>
      </c>
      <c r="G29" s="4">
        <f t="shared" si="1"/>
        <v>62.697525712849654</v>
      </c>
      <c r="H29" s="22" t="s">
        <v>640</v>
      </c>
      <c r="I29" s="22">
        <f t="shared" si="2"/>
        <v>15.000000000000107</v>
      </c>
      <c r="J29" s="5">
        <f t="shared" si="3"/>
        <v>940.46288569275146</v>
      </c>
    </row>
    <row r="30" spans="1:10">
      <c r="A30" s="1">
        <v>43923</v>
      </c>
      <c r="B30" s="2">
        <v>0.89583333333333337</v>
      </c>
      <c r="C30" s="22">
        <v>0</v>
      </c>
      <c r="D30" s="22">
        <v>1.125</v>
      </c>
      <c r="E30" s="22">
        <v>13.587</v>
      </c>
      <c r="F30" s="3">
        <f t="shared" si="0"/>
        <v>0.37642500000000001</v>
      </c>
      <c r="G30" s="4">
        <f t="shared" si="1"/>
        <v>53.259111952361849</v>
      </c>
      <c r="H30" s="22" t="s">
        <v>640</v>
      </c>
      <c r="I30" s="22">
        <f t="shared" si="2"/>
        <v>14.999999999999947</v>
      </c>
      <c r="J30" s="5">
        <f t="shared" si="3"/>
        <v>798.88667928542486</v>
      </c>
    </row>
    <row r="31" spans="1:10">
      <c r="A31" s="1">
        <v>43923</v>
      </c>
      <c r="B31" s="2">
        <v>0.90625</v>
      </c>
      <c r="C31" s="22">
        <v>0</v>
      </c>
      <c r="D31" s="22">
        <v>1.1419999999999999</v>
      </c>
      <c r="E31" s="22">
        <v>13.509</v>
      </c>
      <c r="F31" s="3">
        <f t="shared" si="0"/>
        <v>0.38211319999999999</v>
      </c>
      <c r="G31" s="4">
        <f t="shared" si="1"/>
        <v>55.401897562410078</v>
      </c>
      <c r="H31" s="22" t="s">
        <v>640</v>
      </c>
      <c r="I31" s="22">
        <f t="shared" si="2"/>
        <v>14.999999999999947</v>
      </c>
      <c r="J31" s="5">
        <f t="shared" si="3"/>
        <v>831.02846343614817</v>
      </c>
    </row>
    <row r="32" spans="1:10">
      <c r="A32" s="1">
        <v>43923</v>
      </c>
      <c r="B32" s="2">
        <v>0.91666666666666663</v>
      </c>
      <c r="C32" s="22">
        <v>0</v>
      </c>
      <c r="D32" s="22">
        <v>1.141</v>
      </c>
      <c r="E32" s="22">
        <v>13.442</v>
      </c>
      <c r="F32" s="3">
        <f t="shared" si="0"/>
        <v>0.38177860000000002</v>
      </c>
      <c r="G32" s="4">
        <f t="shared" si="1"/>
        <v>55.274399292335026</v>
      </c>
      <c r="H32" s="22" t="s">
        <v>640</v>
      </c>
      <c r="I32" s="22">
        <f t="shared" si="2"/>
        <v>15.000000000000107</v>
      </c>
      <c r="J32" s="5">
        <f t="shared" si="3"/>
        <v>829.1159893850313</v>
      </c>
    </row>
    <row r="33" spans="1:10">
      <c r="A33" s="1">
        <v>43923</v>
      </c>
      <c r="B33" s="2">
        <v>0.92708333333333337</v>
      </c>
      <c r="C33" s="22">
        <v>0</v>
      </c>
      <c r="D33" s="22">
        <v>1.159</v>
      </c>
      <c r="E33" s="22">
        <v>13.377000000000001</v>
      </c>
      <c r="F33" s="3">
        <f t="shared" si="0"/>
        <v>0.38780140000000002</v>
      </c>
      <c r="G33" s="4">
        <f t="shared" si="1"/>
        <v>57.597312977140788</v>
      </c>
      <c r="H33" s="22" t="s">
        <v>640</v>
      </c>
      <c r="I33" s="22">
        <f t="shared" si="2"/>
        <v>14.999999999999947</v>
      </c>
      <c r="J33" s="5">
        <f t="shared" si="3"/>
        <v>863.9596946571088</v>
      </c>
    </row>
    <row r="34" spans="1:10">
      <c r="A34" s="1">
        <v>43923</v>
      </c>
      <c r="B34" s="2">
        <v>0.9375</v>
      </c>
      <c r="C34" s="22">
        <v>0</v>
      </c>
      <c r="D34" s="22">
        <v>1.1080000000000001</v>
      </c>
      <c r="E34" s="22">
        <v>13.305</v>
      </c>
      <c r="F34" s="3">
        <f t="shared" si="0"/>
        <v>0.37073680000000003</v>
      </c>
      <c r="G34" s="4">
        <f t="shared" si="1"/>
        <v>51.16846119431704</v>
      </c>
      <c r="H34" s="22" t="s">
        <v>640</v>
      </c>
      <c r="I34" s="22">
        <f t="shared" si="2"/>
        <v>14.999999999999947</v>
      </c>
      <c r="J34" s="5">
        <f t="shared" si="3"/>
        <v>767.52691791475286</v>
      </c>
    </row>
    <row r="35" spans="1:10">
      <c r="A35" s="1">
        <v>43923</v>
      </c>
      <c r="B35" s="2">
        <v>0.94791666666666663</v>
      </c>
      <c r="C35" s="22">
        <v>0</v>
      </c>
      <c r="D35" s="22">
        <v>1.1379999999999999</v>
      </c>
      <c r="E35" s="22">
        <v>13.23</v>
      </c>
      <c r="F35" s="3">
        <f t="shared" si="0"/>
        <v>0.38077479999999997</v>
      </c>
      <c r="G35" s="4">
        <f t="shared" si="1"/>
        <v>54.892996142136695</v>
      </c>
      <c r="H35" s="22" t="s">
        <v>640</v>
      </c>
      <c r="I35" s="22">
        <f t="shared" si="2"/>
        <v>15.000000000000107</v>
      </c>
      <c r="J35" s="5">
        <f t="shared" si="3"/>
        <v>823.39494213205626</v>
      </c>
    </row>
    <row r="36" spans="1:10">
      <c r="A36" s="1">
        <v>43923</v>
      </c>
      <c r="B36" s="2">
        <v>0.95833333333333337</v>
      </c>
      <c r="C36" s="22">
        <v>0</v>
      </c>
      <c r="D36" s="22">
        <v>1.145</v>
      </c>
      <c r="E36" s="22">
        <v>13.163</v>
      </c>
      <c r="F36" s="3">
        <f t="shared" si="0"/>
        <v>0.38311700000000004</v>
      </c>
      <c r="G36" s="4">
        <f t="shared" si="1"/>
        <v>55.785485439385504</v>
      </c>
      <c r="H36" s="22" t="s">
        <v>640</v>
      </c>
      <c r="I36" s="22">
        <f t="shared" si="2"/>
        <v>14.999999999999947</v>
      </c>
      <c r="J36" s="5">
        <f t="shared" si="3"/>
        <v>836.78228159077958</v>
      </c>
    </row>
    <row r="37" spans="1:10">
      <c r="A37" s="1">
        <v>43923</v>
      </c>
      <c r="B37" s="2">
        <v>0.96875</v>
      </c>
      <c r="C37" s="22">
        <v>0</v>
      </c>
      <c r="D37" s="22">
        <v>1.1479999999999999</v>
      </c>
      <c r="E37" s="22">
        <v>13.09</v>
      </c>
      <c r="F37" s="3">
        <f t="shared" si="0"/>
        <v>0.38412079999999998</v>
      </c>
      <c r="G37" s="4">
        <f t="shared" si="1"/>
        <v>56.170715024864357</v>
      </c>
      <c r="H37" s="22" t="s">
        <v>640</v>
      </c>
      <c r="I37" s="22">
        <f t="shared" si="2"/>
        <v>14.999999999999947</v>
      </c>
      <c r="J37" s="5">
        <f t="shared" si="3"/>
        <v>842.56072537296234</v>
      </c>
    </row>
    <row r="38" spans="1:10">
      <c r="A38" s="1">
        <v>43923</v>
      </c>
      <c r="B38" s="2">
        <v>0.97916666666666663</v>
      </c>
      <c r="C38" s="22">
        <v>0</v>
      </c>
      <c r="D38" s="22">
        <v>1.1419999999999999</v>
      </c>
      <c r="E38" s="22">
        <v>13.022</v>
      </c>
      <c r="F38" s="3">
        <f t="shared" si="0"/>
        <v>0.38211319999999999</v>
      </c>
      <c r="G38" s="4">
        <f t="shared" si="1"/>
        <v>55.401897562410078</v>
      </c>
      <c r="H38" s="22" t="s">
        <v>640</v>
      </c>
      <c r="I38" s="22">
        <f t="shared" si="2"/>
        <v>15.000000000000107</v>
      </c>
      <c r="J38" s="5">
        <f t="shared" si="3"/>
        <v>831.02846343615704</v>
      </c>
    </row>
    <row r="39" spans="1:10">
      <c r="A39" s="1">
        <v>43923</v>
      </c>
      <c r="B39" s="2">
        <v>0.98958333333333337</v>
      </c>
      <c r="C39" s="22">
        <v>0</v>
      </c>
      <c r="D39" s="22">
        <v>1.1439999999999999</v>
      </c>
      <c r="E39" s="22">
        <v>12.954000000000001</v>
      </c>
      <c r="F39" s="3">
        <f t="shared" si="0"/>
        <v>0.38278239999999997</v>
      </c>
      <c r="G39" s="4">
        <f t="shared" si="1"/>
        <v>55.657440535503845</v>
      </c>
      <c r="H39" s="22" t="s">
        <v>640</v>
      </c>
      <c r="I39" s="22">
        <v>15</v>
      </c>
      <c r="J39" s="5">
        <f t="shared" si="3"/>
        <v>834.86160803255768</v>
      </c>
    </row>
    <row r="40" spans="1:10">
      <c r="A40" s="1">
        <v>43924</v>
      </c>
      <c r="B40" s="2">
        <v>0</v>
      </c>
      <c r="C40" s="22">
        <v>0</v>
      </c>
      <c r="D40" s="22">
        <v>1.1379999999999999</v>
      </c>
      <c r="E40" s="22">
        <v>12.888</v>
      </c>
      <c r="F40" s="3">
        <f t="shared" si="0"/>
        <v>0.38077479999999997</v>
      </c>
      <c r="G40" s="4">
        <f t="shared" si="1"/>
        <v>54.892996142136695</v>
      </c>
      <c r="H40" s="22" t="s">
        <v>640</v>
      </c>
      <c r="I40" s="22">
        <f t="shared" si="2"/>
        <v>15</v>
      </c>
      <c r="J40" s="5">
        <f t="shared" si="3"/>
        <v>823.39494213205046</v>
      </c>
    </row>
    <row r="41" spans="1:10">
      <c r="A41" s="1">
        <v>43924</v>
      </c>
      <c r="B41" s="2">
        <v>1.0416666666666666E-2</v>
      </c>
      <c r="C41" s="22">
        <v>0</v>
      </c>
      <c r="D41" s="22">
        <v>1.1339999999999999</v>
      </c>
      <c r="E41" s="22">
        <v>12.834</v>
      </c>
      <c r="F41" s="3">
        <f t="shared" si="0"/>
        <v>0.37943639999999995</v>
      </c>
      <c r="G41" s="4">
        <f t="shared" si="1"/>
        <v>54.387002060655668</v>
      </c>
      <c r="H41" s="22" t="s">
        <v>640</v>
      </c>
      <c r="I41" s="22">
        <f t="shared" si="2"/>
        <v>15</v>
      </c>
      <c r="J41" s="5">
        <f t="shared" si="3"/>
        <v>815.80503090983507</v>
      </c>
    </row>
    <row r="42" spans="1:10">
      <c r="A42" s="1">
        <v>43924</v>
      </c>
      <c r="B42" s="2">
        <v>2.0833333333333332E-2</v>
      </c>
      <c r="C42" s="22">
        <v>0</v>
      </c>
      <c r="D42" s="22">
        <v>1.1859999999999999</v>
      </c>
      <c r="E42" s="22">
        <v>12.779</v>
      </c>
      <c r="F42" s="3">
        <f t="shared" si="0"/>
        <v>0.39683560000000001</v>
      </c>
      <c r="G42" s="4">
        <f t="shared" si="1"/>
        <v>61.193531724986585</v>
      </c>
      <c r="H42" s="22" t="s">
        <v>640</v>
      </c>
      <c r="I42" s="22">
        <f t="shared" si="2"/>
        <v>15.000000000000002</v>
      </c>
      <c r="J42" s="5">
        <f t="shared" si="3"/>
        <v>917.90297587479893</v>
      </c>
    </row>
    <row r="43" spans="1:10">
      <c r="A43" s="1">
        <v>43924</v>
      </c>
      <c r="B43" s="2">
        <v>3.125E-2</v>
      </c>
      <c r="C43" s="22">
        <v>0</v>
      </c>
      <c r="D43" s="22">
        <v>1.1839999999999999</v>
      </c>
      <c r="E43" s="22">
        <v>12.725</v>
      </c>
      <c r="F43" s="3">
        <f t="shared" si="0"/>
        <v>0.39616639999999997</v>
      </c>
      <c r="G43" s="4">
        <f t="shared" si="1"/>
        <v>60.922506636547801</v>
      </c>
      <c r="H43" s="22" t="s">
        <v>640</v>
      </c>
      <c r="I43" s="22">
        <f t="shared" si="2"/>
        <v>14.999999999999996</v>
      </c>
      <c r="J43" s="5">
        <f t="shared" si="3"/>
        <v>913.83759954821676</v>
      </c>
    </row>
    <row r="44" spans="1:10">
      <c r="A44" s="1">
        <v>43924</v>
      </c>
      <c r="B44" s="2">
        <v>4.1666666666666664E-2</v>
      </c>
      <c r="C44" s="22">
        <v>0</v>
      </c>
      <c r="D44" s="22">
        <v>1.1719999999999999</v>
      </c>
      <c r="E44" s="22">
        <v>12.672000000000001</v>
      </c>
      <c r="F44" s="3">
        <f t="shared" si="0"/>
        <v>0.39215119999999998</v>
      </c>
      <c r="G44" s="4">
        <f t="shared" si="1"/>
        <v>59.311977697480636</v>
      </c>
      <c r="H44" s="22" t="s">
        <v>640</v>
      </c>
      <c r="I44" s="22">
        <f t="shared" si="2"/>
        <v>15.000000000000007</v>
      </c>
      <c r="J44" s="5">
        <f t="shared" si="3"/>
        <v>889.67966546220998</v>
      </c>
    </row>
    <row r="45" spans="1:10">
      <c r="A45" s="1">
        <v>43924</v>
      </c>
      <c r="B45" s="2">
        <v>5.2083333333333336E-2</v>
      </c>
      <c r="C45" s="22">
        <v>0</v>
      </c>
      <c r="D45" s="22">
        <v>1.1779999999999999</v>
      </c>
      <c r="E45" s="22">
        <v>12.617000000000001</v>
      </c>
      <c r="F45" s="3">
        <f t="shared" si="0"/>
        <v>0.39415879999999998</v>
      </c>
      <c r="G45" s="4">
        <f t="shared" si="1"/>
        <v>60.113899447330084</v>
      </c>
      <c r="H45" s="22" t="s">
        <v>640</v>
      </c>
      <c r="I45" s="22">
        <f t="shared" si="2"/>
        <v>14.999999999999996</v>
      </c>
      <c r="J45" s="5">
        <f t="shared" si="3"/>
        <v>901.70849170995109</v>
      </c>
    </row>
    <row r="46" spans="1:10">
      <c r="A46" s="1">
        <v>43924</v>
      </c>
      <c r="B46" s="2">
        <v>6.25E-2</v>
      </c>
      <c r="C46" s="22">
        <v>0</v>
      </c>
      <c r="D46" s="22">
        <v>1.19</v>
      </c>
      <c r="E46" s="22">
        <v>12.561</v>
      </c>
      <c r="F46" s="3">
        <f t="shared" si="0"/>
        <v>0.39817399999999997</v>
      </c>
      <c r="G46" s="4">
        <f t="shared" si="1"/>
        <v>61.737820697429271</v>
      </c>
      <c r="H46" s="22" t="s">
        <v>640</v>
      </c>
      <c r="I46" s="22">
        <f t="shared" si="2"/>
        <v>15.000000000000007</v>
      </c>
      <c r="J46" s="5">
        <f t="shared" si="3"/>
        <v>926.06731046143955</v>
      </c>
    </row>
    <row r="47" spans="1:10">
      <c r="A47" s="1">
        <v>43924</v>
      </c>
      <c r="B47" s="2">
        <v>7.2916666666666671E-2</v>
      </c>
      <c r="C47" s="22">
        <v>0</v>
      </c>
      <c r="D47" s="22">
        <v>1.173</v>
      </c>
      <c r="E47" s="22">
        <v>12.507</v>
      </c>
      <c r="F47" s="3">
        <f t="shared" si="0"/>
        <v>0.39248580000000005</v>
      </c>
      <c r="G47" s="4">
        <f t="shared" si="1"/>
        <v>59.445167966595662</v>
      </c>
      <c r="H47" s="22" t="s">
        <v>640</v>
      </c>
      <c r="I47" s="22">
        <f t="shared" si="2"/>
        <v>14.999999999999988</v>
      </c>
      <c r="J47" s="5">
        <f t="shared" si="3"/>
        <v>891.6775194989342</v>
      </c>
    </row>
    <row r="48" spans="1:10">
      <c r="A48" s="1">
        <v>43924</v>
      </c>
      <c r="B48" s="2">
        <v>8.3333333333333329E-2</v>
      </c>
      <c r="C48" s="22">
        <v>0</v>
      </c>
      <c r="D48" s="22">
        <v>1.1639999999999999</v>
      </c>
      <c r="E48" s="22">
        <v>12.454000000000001</v>
      </c>
      <c r="F48" s="3">
        <f t="shared" si="0"/>
        <v>0.3894744</v>
      </c>
      <c r="G48" s="4">
        <f t="shared" si="1"/>
        <v>58.25311115082301</v>
      </c>
      <c r="H48" s="22" t="s">
        <v>640</v>
      </c>
      <c r="I48" s="22">
        <f t="shared" si="2"/>
        <v>15.000000000000007</v>
      </c>
      <c r="J48" s="5">
        <f t="shared" si="3"/>
        <v>873.79666726234552</v>
      </c>
    </row>
    <row r="49" spans="1:10">
      <c r="A49" s="1">
        <v>43924</v>
      </c>
      <c r="B49" s="2">
        <v>9.375E-2</v>
      </c>
      <c r="C49" s="22">
        <v>0</v>
      </c>
      <c r="D49" s="22">
        <v>1.145</v>
      </c>
      <c r="E49" s="22">
        <v>12.398999999999999</v>
      </c>
      <c r="F49" s="3">
        <f t="shared" si="0"/>
        <v>0.38311700000000004</v>
      </c>
      <c r="G49" s="4">
        <f t="shared" si="1"/>
        <v>55.785485439385504</v>
      </c>
      <c r="H49" s="22" t="s">
        <v>640</v>
      </c>
      <c r="I49" s="22">
        <f t="shared" si="2"/>
        <v>15.000000000000007</v>
      </c>
      <c r="J49" s="5">
        <f t="shared" si="3"/>
        <v>836.78228159078299</v>
      </c>
    </row>
    <row r="50" spans="1:10">
      <c r="A50" s="1">
        <v>43924</v>
      </c>
      <c r="B50" s="2">
        <v>0.10416666666666667</v>
      </c>
      <c r="C50" s="22">
        <v>0</v>
      </c>
      <c r="D50" s="22">
        <v>1.2050000000000001</v>
      </c>
      <c r="E50" s="22">
        <v>12.342000000000001</v>
      </c>
      <c r="F50" s="3">
        <f t="shared" si="0"/>
        <v>0.40319300000000002</v>
      </c>
      <c r="G50" s="4">
        <f t="shared" si="1"/>
        <v>63.805588701074392</v>
      </c>
      <c r="H50" s="22" t="s">
        <v>640</v>
      </c>
      <c r="I50" s="22">
        <f t="shared" si="2"/>
        <v>14.999999999999988</v>
      </c>
      <c r="J50" s="5">
        <f t="shared" si="3"/>
        <v>957.08383051611509</v>
      </c>
    </row>
    <row r="51" spans="1:10">
      <c r="A51" s="1">
        <v>43924</v>
      </c>
      <c r="B51" s="2">
        <v>0.11458333333333333</v>
      </c>
      <c r="C51" s="22">
        <v>0</v>
      </c>
      <c r="D51" s="22">
        <v>1.2</v>
      </c>
      <c r="E51" s="22">
        <v>12.287000000000001</v>
      </c>
      <c r="F51" s="3">
        <f t="shared" si="0"/>
        <v>0.40151999999999999</v>
      </c>
      <c r="G51" s="4">
        <f t="shared" si="1"/>
        <v>63.111639708888944</v>
      </c>
      <c r="H51" s="22" t="s">
        <v>640</v>
      </c>
      <c r="I51" s="22">
        <f t="shared" si="2"/>
        <v>15.000000000000007</v>
      </c>
      <c r="J51" s="5">
        <f t="shared" si="3"/>
        <v>946.67459563333466</v>
      </c>
    </row>
    <row r="52" spans="1:10">
      <c r="A52" s="1">
        <v>43924</v>
      </c>
      <c r="B52" s="2">
        <v>0.125</v>
      </c>
      <c r="C52" s="22">
        <v>0</v>
      </c>
      <c r="D52" s="22">
        <v>1.196</v>
      </c>
      <c r="E52" s="22">
        <v>12.23</v>
      </c>
      <c r="F52" s="3">
        <f t="shared" si="0"/>
        <v>0.40018159999999997</v>
      </c>
      <c r="G52" s="4">
        <f t="shared" si="1"/>
        <v>62.559863022121682</v>
      </c>
      <c r="H52" s="22" t="s">
        <v>640</v>
      </c>
      <c r="I52" s="22">
        <f t="shared" si="2"/>
        <v>14.999999999999988</v>
      </c>
      <c r="J52" s="5">
        <f t="shared" si="3"/>
        <v>938.39794533182442</v>
      </c>
    </row>
    <row r="53" spans="1:10">
      <c r="A53" s="1">
        <v>43924</v>
      </c>
      <c r="B53" s="2">
        <v>0.13541666666666666</v>
      </c>
      <c r="C53" s="22">
        <v>0</v>
      </c>
      <c r="D53" s="22">
        <v>1.2250000000000001</v>
      </c>
      <c r="E53" s="22">
        <v>12.172000000000001</v>
      </c>
      <c r="F53" s="3">
        <f t="shared" si="0"/>
        <v>0.40988500000000005</v>
      </c>
      <c r="G53" s="4">
        <f t="shared" si="1"/>
        <v>66.628601836598918</v>
      </c>
      <c r="H53" s="22" t="s">
        <v>640</v>
      </c>
      <c r="I53" s="22">
        <f t="shared" si="2"/>
        <v>15.000000000000027</v>
      </c>
      <c r="J53" s="5">
        <f t="shared" si="3"/>
        <v>999.42902754898557</v>
      </c>
    </row>
    <row r="54" spans="1:10">
      <c r="A54" s="1">
        <v>43924</v>
      </c>
      <c r="B54" s="2">
        <v>0.14583333333333334</v>
      </c>
      <c r="C54" s="22">
        <v>0</v>
      </c>
      <c r="D54" s="22">
        <v>1.171</v>
      </c>
      <c r="E54" s="22">
        <v>12.111000000000001</v>
      </c>
      <c r="F54" s="3">
        <f t="shared" si="0"/>
        <v>0.39181660000000001</v>
      </c>
      <c r="G54" s="4">
        <f t="shared" si="1"/>
        <v>59.178972538641801</v>
      </c>
      <c r="H54" s="22" t="s">
        <v>640</v>
      </c>
      <c r="I54" s="22">
        <f t="shared" si="2"/>
        <v>14.999999999999988</v>
      </c>
      <c r="J54" s="5">
        <f t="shared" si="3"/>
        <v>887.68458807962634</v>
      </c>
    </row>
    <row r="55" spans="1:10">
      <c r="A55" s="1">
        <v>43924</v>
      </c>
      <c r="B55" s="2">
        <v>0.15625</v>
      </c>
      <c r="C55" s="22">
        <v>0</v>
      </c>
      <c r="D55" s="22">
        <v>1.1719999999999999</v>
      </c>
      <c r="E55" s="22">
        <v>12.048</v>
      </c>
      <c r="F55" s="3">
        <f t="shared" si="0"/>
        <v>0.39215119999999998</v>
      </c>
      <c r="G55" s="4">
        <f t="shared" si="1"/>
        <v>59.311977697480636</v>
      </c>
      <c r="H55" s="22" t="s">
        <v>640</v>
      </c>
      <c r="I55" s="22">
        <f t="shared" si="2"/>
        <v>14.999999999999988</v>
      </c>
      <c r="J55" s="5">
        <f t="shared" si="3"/>
        <v>889.67966546220885</v>
      </c>
    </row>
    <row r="56" spans="1:10">
      <c r="A56" s="1">
        <v>43924</v>
      </c>
      <c r="B56" s="2">
        <v>0.16666666666666666</v>
      </c>
      <c r="C56" s="22">
        <v>0</v>
      </c>
      <c r="D56" s="22">
        <v>1.1719999999999999</v>
      </c>
      <c r="E56" s="22">
        <v>11.986000000000001</v>
      </c>
      <c r="F56" s="3">
        <f t="shared" si="0"/>
        <v>0.39215119999999998</v>
      </c>
      <c r="G56" s="4">
        <f t="shared" si="1"/>
        <v>59.311977697480636</v>
      </c>
      <c r="H56" s="22" t="s">
        <v>640</v>
      </c>
      <c r="I56" s="22">
        <f t="shared" si="2"/>
        <v>15.000000000000027</v>
      </c>
      <c r="J56" s="5">
        <f t="shared" si="3"/>
        <v>889.67966546221112</v>
      </c>
    </row>
    <row r="57" spans="1:10">
      <c r="A57" s="1">
        <v>43924</v>
      </c>
      <c r="B57" s="2">
        <v>0.17708333333333334</v>
      </c>
      <c r="C57" s="22">
        <v>0</v>
      </c>
      <c r="D57" s="22">
        <v>1.1739999999999999</v>
      </c>
      <c r="E57" s="22">
        <v>11.923999999999999</v>
      </c>
      <c r="F57" s="3">
        <f t="shared" si="0"/>
        <v>0.39282040000000001</v>
      </c>
      <c r="G57" s="4">
        <f t="shared" si="1"/>
        <v>59.578543445475816</v>
      </c>
      <c r="H57" s="22" t="s">
        <v>640</v>
      </c>
      <c r="I57" s="22">
        <f t="shared" si="2"/>
        <v>14.999999999999988</v>
      </c>
      <c r="J57" s="5">
        <f t="shared" si="3"/>
        <v>893.67815168213644</v>
      </c>
    </row>
    <row r="58" spans="1:10">
      <c r="A58" s="1">
        <v>43924</v>
      </c>
      <c r="B58" s="2">
        <v>0.1875</v>
      </c>
      <c r="C58" s="22">
        <v>0</v>
      </c>
      <c r="D58" s="22">
        <v>1.115</v>
      </c>
      <c r="E58" s="22">
        <v>11.86</v>
      </c>
      <c r="F58" s="3">
        <f t="shared" si="0"/>
        <v>0.37307899999999999</v>
      </c>
      <c r="G58" s="4">
        <f t="shared" si="1"/>
        <v>52.023035328052231</v>
      </c>
      <c r="H58" s="22" t="s">
        <v>640</v>
      </c>
      <c r="I58" s="22">
        <f t="shared" si="2"/>
        <v>14.999999999999988</v>
      </c>
      <c r="J58" s="5">
        <f t="shared" si="3"/>
        <v>780.34552992078284</v>
      </c>
    </row>
    <row r="59" spans="1:10">
      <c r="A59" s="1">
        <v>43924</v>
      </c>
      <c r="B59" s="2">
        <v>0.19791666666666666</v>
      </c>
      <c r="C59" s="22">
        <v>0</v>
      </c>
      <c r="D59" s="22">
        <v>1.1080000000000001</v>
      </c>
      <c r="E59" s="22">
        <v>11.8</v>
      </c>
      <c r="F59" s="3">
        <f t="shared" si="0"/>
        <v>0.37073680000000003</v>
      </c>
      <c r="G59" s="4">
        <f t="shared" si="1"/>
        <v>51.16846119431704</v>
      </c>
      <c r="H59" s="22" t="s">
        <v>640</v>
      </c>
      <c r="I59" s="22">
        <f t="shared" si="2"/>
        <v>15.000000000000027</v>
      </c>
      <c r="J59" s="5">
        <f t="shared" si="3"/>
        <v>767.52691791475695</v>
      </c>
    </row>
    <row r="60" spans="1:10">
      <c r="A60" s="1">
        <v>43924</v>
      </c>
      <c r="B60" s="2">
        <v>0.20833333333333334</v>
      </c>
      <c r="C60" s="22">
        <v>0</v>
      </c>
      <c r="D60" s="22">
        <v>1.127</v>
      </c>
      <c r="E60" s="22">
        <v>11.744999999999999</v>
      </c>
      <c r="F60" s="3">
        <f t="shared" si="0"/>
        <v>0.37709419999999999</v>
      </c>
      <c r="G60" s="4">
        <f t="shared" si="1"/>
        <v>53.508488820233808</v>
      </c>
      <c r="H60" s="22" t="s">
        <v>640</v>
      </c>
      <c r="I60" s="22">
        <f t="shared" si="2"/>
        <v>14.999999999999988</v>
      </c>
      <c r="J60" s="5">
        <f t="shared" si="3"/>
        <v>802.62733230350648</v>
      </c>
    </row>
    <row r="61" spans="1:10">
      <c r="A61" s="1">
        <v>43924</v>
      </c>
      <c r="B61" s="2">
        <v>0.21875</v>
      </c>
      <c r="C61" s="22">
        <v>0</v>
      </c>
      <c r="D61" s="22">
        <v>1.1479999999999999</v>
      </c>
      <c r="E61" s="22">
        <v>11.69</v>
      </c>
      <c r="F61" s="3">
        <f t="shared" si="0"/>
        <v>0.38412079999999998</v>
      </c>
      <c r="G61" s="4">
        <f t="shared" si="1"/>
        <v>56.170715024864357</v>
      </c>
      <c r="H61" s="22" t="s">
        <v>640</v>
      </c>
      <c r="I61" s="22">
        <f t="shared" si="2"/>
        <v>14.999999999999988</v>
      </c>
      <c r="J61" s="5">
        <f t="shared" si="3"/>
        <v>842.56072537296461</v>
      </c>
    </row>
    <row r="62" spans="1:10">
      <c r="A62" s="1">
        <v>43924</v>
      </c>
      <c r="B62" s="2">
        <v>0.22916666666666666</v>
      </c>
      <c r="C62" s="22">
        <v>0</v>
      </c>
      <c r="D62" s="22">
        <v>1.113</v>
      </c>
      <c r="E62" s="22">
        <v>11.634</v>
      </c>
      <c r="F62" s="3">
        <f t="shared" si="0"/>
        <v>0.37240980000000001</v>
      </c>
      <c r="G62" s="4">
        <f t="shared" si="1"/>
        <v>51.777975879572423</v>
      </c>
      <c r="H62" s="22" t="s">
        <v>640</v>
      </c>
      <c r="I62" s="22">
        <f t="shared" si="2"/>
        <v>15.000000000000027</v>
      </c>
      <c r="J62" s="5">
        <f t="shared" si="3"/>
        <v>776.66963819358773</v>
      </c>
    </row>
    <row r="63" spans="1:10">
      <c r="A63" s="1">
        <v>43924</v>
      </c>
      <c r="B63" s="2">
        <v>0.23958333333333334</v>
      </c>
      <c r="C63" s="22">
        <v>0</v>
      </c>
      <c r="D63" s="22">
        <v>1.133</v>
      </c>
      <c r="E63" s="22">
        <v>11.577</v>
      </c>
      <c r="F63" s="3">
        <f t="shared" si="0"/>
        <v>0.37910179999999999</v>
      </c>
      <c r="G63" s="4">
        <f t="shared" si="1"/>
        <v>54.260957057206056</v>
      </c>
      <c r="H63" s="22" t="s">
        <v>640</v>
      </c>
      <c r="I63" s="22">
        <f t="shared" si="2"/>
        <v>14.999999999999988</v>
      </c>
      <c r="J63" s="5">
        <f t="shared" si="3"/>
        <v>813.91435585809018</v>
      </c>
    </row>
    <row r="64" spans="1:10">
      <c r="A64" s="1">
        <v>43924</v>
      </c>
      <c r="B64" s="2">
        <v>0.25</v>
      </c>
      <c r="C64" s="22">
        <v>0</v>
      </c>
      <c r="D64" s="22">
        <v>1.157</v>
      </c>
      <c r="E64" s="22">
        <v>11.523999999999999</v>
      </c>
      <c r="F64" s="3">
        <f t="shared" si="0"/>
        <v>0.38713220000000004</v>
      </c>
      <c r="G64" s="4">
        <f t="shared" si="1"/>
        <v>57.336281105078541</v>
      </c>
      <c r="H64" s="22" t="s">
        <v>640</v>
      </c>
      <c r="I64" s="22">
        <f t="shared" si="2"/>
        <v>15.000000000000027</v>
      </c>
      <c r="J64" s="5">
        <f t="shared" si="3"/>
        <v>860.04421657617968</v>
      </c>
    </row>
    <row r="65" spans="1:10">
      <c r="A65" s="1">
        <v>43924</v>
      </c>
      <c r="B65" s="2">
        <v>0.26041666666666669</v>
      </c>
      <c r="C65" s="22">
        <v>0</v>
      </c>
      <c r="D65" s="22">
        <v>1.1739999999999999</v>
      </c>
      <c r="E65" s="22">
        <v>11.468999999999999</v>
      </c>
      <c r="F65" s="3">
        <f t="shared" si="0"/>
        <v>0.39282040000000001</v>
      </c>
      <c r="G65" s="4">
        <f t="shared" si="1"/>
        <v>59.578543445475816</v>
      </c>
      <c r="H65" s="22" t="s">
        <v>640</v>
      </c>
      <c r="I65" s="22">
        <f t="shared" si="2"/>
        <v>14.999999999999947</v>
      </c>
      <c r="J65" s="5">
        <f t="shared" si="3"/>
        <v>893.67815168213406</v>
      </c>
    </row>
    <row r="66" spans="1:10">
      <c r="A66" s="1">
        <v>43924</v>
      </c>
      <c r="B66" s="2">
        <v>0.27083333333333331</v>
      </c>
      <c r="C66" s="22">
        <v>0</v>
      </c>
      <c r="D66" s="22">
        <v>1.1220000000000001</v>
      </c>
      <c r="E66" s="22">
        <v>11.419</v>
      </c>
      <c r="F66" s="3">
        <f t="shared" ref="F66:F98" si="4">D66*0.3346</f>
        <v>0.37542120000000007</v>
      </c>
      <c r="G66" s="4">
        <f t="shared" ref="G66:G98" si="5">695.6*(F66^2.63)</f>
        <v>52.886399384440807</v>
      </c>
      <c r="H66" s="22" t="s">
        <v>640</v>
      </c>
      <c r="I66" s="22">
        <f t="shared" si="2"/>
        <v>15.000000000000027</v>
      </c>
      <c r="J66" s="5">
        <f t="shared" si="3"/>
        <v>793.2959907666135</v>
      </c>
    </row>
    <row r="67" spans="1:10">
      <c r="A67" s="1">
        <v>43924</v>
      </c>
      <c r="B67" s="2">
        <v>0.28125</v>
      </c>
      <c r="C67" s="22">
        <v>0</v>
      </c>
      <c r="D67" s="22">
        <v>1.1259999999999999</v>
      </c>
      <c r="E67" s="22">
        <v>11.364000000000001</v>
      </c>
      <c r="F67" s="3">
        <f t="shared" si="4"/>
        <v>0.37675959999999997</v>
      </c>
      <c r="G67" s="4">
        <f t="shared" si="5"/>
        <v>53.38371013669002</v>
      </c>
      <c r="H67" s="22" t="s">
        <v>640</v>
      </c>
      <c r="I67" s="22">
        <f t="shared" ref="I67:I97" si="6">CONVERT((B68-B67),"day","mn")</f>
        <v>15.000000000000027</v>
      </c>
      <c r="J67" s="5">
        <f t="shared" ref="J67:J98" si="7">G67*I67</f>
        <v>800.75565205035173</v>
      </c>
    </row>
    <row r="68" spans="1:10">
      <c r="A68" s="1">
        <v>43924</v>
      </c>
      <c r="B68" s="2">
        <v>0.29166666666666669</v>
      </c>
      <c r="C68" s="22">
        <v>0</v>
      </c>
      <c r="D68" s="22">
        <v>1.125</v>
      </c>
      <c r="E68" s="22">
        <v>11.315</v>
      </c>
      <c r="F68" s="3">
        <f t="shared" si="4"/>
        <v>0.37642500000000001</v>
      </c>
      <c r="G68" s="4">
        <f t="shared" si="5"/>
        <v>53.259111952361849</v>
      </c>
      <c r="H68" s="22" t="s">
        <v>640</v>
      </c>
      <c r="I68" s="22">
        <f t="shared" si="6"/>
        <v>14.999999999999947</v>
      </c>
      <c r="J68" s="5">
        <f t="shared" si="7"/>
        <v>798.88667928542486</v>
      </c>
    </row>
    <row r="69" spans="1:10">
      <c r="A69" s="1">
        <v>43924</v>
      </c>
      <c r="B69" s="2">
        <v>0.30208333333333331</v>
      </c>
      <c r="C69" s="22">
        <v>0</v>
      </c>
      <c r="D69" s="22">
        <v>1.135</v>
      </c>
      <c r="E69" s="22">
        <v>11.273</v>
      </c>
      <c r="F69" s="3">
        <f t="shared" si="4"/>
        <v>0.37977100000000003</v>
      </c>
      <c r="G69" s="4">
        <f t="shared" si="5"/>
        <v>54.513228370180805</v>
      </c>
      <c r="H69" s="22" t="s">
        <v>640</v>
      </c>
      <c r="I69" s="22">
        <f t="shared" si="6"/>
        <v>15.000000000000027</v>
      </c>
      <c r="J69" s="5">
        <f t="shared" si="7"/>
        <v>817.6984255527135</v>
      </c>
    </row>
    <row r="70" spans="1:10">
      <c r="A70" s="1">
        <v>43924</v>
      </c>
      <c r="B70" s="2">
        <v>0.3125</v>
      </c>
      <c r="C70" s="22">
        <v>0</v>
      </c>
      <c r="D70" s="22">
        <v>1.149</v>
      </c>
      <c r="E70" s="22">
        <v>11.228</v>
      </c>
      <c r="F70" s="3">
        <f t="shared" si="4"/>
        <v>0.3844554</v>
      </c>
      <c r="G70" s="4">
        <f t="shared" si="5"/>
        <v>56.299490179028304</v>
      </c>
      <c r="H70" s="22" t="s">
        <v>640</v>
      </c>
      <c r="I70" s="22">
        <f t="shared" si="6"/>
        <v>15.000000000000027</v>
      </c>
      <c r="J70" s="5">
        <f t="shared" si="7"/>
        <v>844.49235268542611</v>
      </c>
    </row>
    <row r="71" spans="1:10">
      <c r="A71" s="1">
        <v>43924</v>
      </c>
      <c r="B71" s="2">
        <v>0.32291666666666669</v>
      </c>
      <c r="C71" s="22">
        <v>0</v>
      </c>
      <c r="D71" s="22">
        <v>1.1559999999999999</v>
      </c>
      <c r="E71" s="22">
        <v>11.180999999999999</v>
      </c>
      <c r="F71" s="3">
        <f t="shared" si="4"/>
        <v>0.38679759999999996</v>
      </c>
      <c r="G71" s="4">
        <f t="shared" si="5"/>
        <v>57.206040640256226</v>
      </c>
      <c r="H71" s="22" t="s">
        <v>640</v>
      </c>
      <c r="I71" s="22">
        <f t="shared" si="6"/>
        <v>14.999999999999947</v>
      </c>
      <c r="J71" s="5">
        <f t="shared" si="7"/>
        <v>858.09060960384033</v>
      </c>
    </row>
    <row r="72" spans="1:10">
      <c r="A72" s="1">
        <v>43924</v>
      </c>
      <c r="B72" s="2">
        <v>0.33333333333333331</v>
      </c>
      <c r="C72" s="22">
        <v>0</v>
      </c>
      <c r="D72" s="22">
        <v>1.1659999999999999</v>
      </c>
      <c r="E72" s="22">
        <v>11.15</v>
      </c>
      <c r="F72" s="3">
        <f t="shared" si="4"/>
        <v>0.39014359999999998</v>
      </c>
      <c r="G72" s="4">
        <f t="shared" si="5"/>
        <v>58.516719914275193</v>
      </c>
      <c r="H72" s="22" t="s">
        <v>640</v>
      </c>
      <c r="I72" s="22">
        <f t="shared" si="6"/>
        <v>15.000000000000027</v>
      </c>
      <c r="J72" s="5">
        <f t="shared" si="7"/>
        <v>877.75079871412947</v>
      </c>
    </row>
    <row r="73" spans="1:10">
      <c r="A73" s="1">
        <v>43924</v>
      </c>
      <c r="B73" s="2">
        <v>0.34375</v>
      </c>
      <c r="C73" s="22">
        <v>0</v>
      </c>
      <c r="D73" s="22">
        <v>1.1599999999999999</v>
      </c>
      <c r="E73" s="22">
        <v>11.132</v>
      </c>
      <c r="F73" s="3">
        <f t="shared" si="4"/>
        <v>0.38813599999999998</v>
      </c>
      <c r="G73" s="4">
        <f t="shared" si="5"/>
        <v>57.728104584276934</v>
      </c>
      <c r="H73" s="22" t="s">
        <v>640</v>
      </c>
      <c r="I73" s="22">
        <f t="shared" si="6"/>
        <v>15.000000000000027</v>
      </c>
      <c r="J73" s="5">
        <f t="shared" si="7"/>
        <v>865.92156876415561</v>
      </c>
    </row>
    <row r="74" spans="1:10">
      <c r="A74" s="1">
        <v>43924</v>
      </c>
      <c r="B74" s="2">
        <v>0.35416666666666669</v>
      </c>
      <c r="C74" s="22">
        <v>0</v>
      </c>
      <c r="D74" s="22">
        <v>1.1779999999999999</v>
      </c>
      <c r="E74" s="22">
        <v>11.141</v>
      </c>
      <c r="F74" s="3">
        <f t="shared" si="4"/>
        <v>0.39415879999999998</v>
      </c>
      <c r="G74" s="4">
        <f t="shared" si="5"/>
        <v>60.113899447330084</v>
      </c>
      <c r="H74" s="22" t="s">
        <v>640</v>
      </c>
      <c r="I74" s="22">
        <f t="shared" si="6"/>
        <v>14.999999999999947</v>
      </c>
      <c r="J74" s="5">
        <f t="shared" si="7"/>
        <v>901.70849170994802</v>
      </c>
    </row>
    <row r="75" spans="1:10">
      <c r="A75" s="1">
        <v>43924</v>
      </c>
      <c r="B75" s="2">
        <v>0.36458333333333331</v>
      </c>
      <c r="C75" s="22">
        <v>0</v>
      </c>
      <c r="D75" s="22">
        <v>1.1870000000000001</v>
      </c>
      <c r="E75" s="22">
        <v>11.173999999999999</v>
      </c>
      <c r="F75" s="3">
        <f t="shared" si="4"/>
        <v>0.39717020000000003</v>
      </c>
      <c r="G75" s="4">
        <f t="shared" si="5"/>
        <v>61.329323970083671</v>
      </c>
      <c r="H75" s="22" t="s">
        <v>640</v>
      </c>
      <c r="I75" s="22">
        <f t="shared" si="6"/>
        <v>15.000000000000027</v>
      </c>
      <c r="J75" s="5">
        <f t="shared" si="7"/>
        <v>919.93985955125675</v>
      </c>
    </row>
    <row r="76" spans="1:10">
      <c r="A76" s="1">
        <v>43924</v>
      </c>
      <c r="B76" s="2">
        <v>0.375</v>
      </c>
      <c r="C76" s="22">
        <v>0</v>
      </c>
      <c r="D76" s="22">
        <v>1.1870000000000001</v>
      </c>
      <c r="E76" s="22">
        <v>11.273999999999999</v>
      </c>
      <c r="F76" s="3">
        <f t="shared" si="4"/>
        <v>0.39717020000000003</v>
      </c>
      <c r="G76" s="4">
        <f t="shared" si="5"/>
        <v>61.329323970083671</v>
      </c>
      <c r="H76" s="22" t="s">
        <v>640</v>
      </c>
      <c r="I76" s="22">
        <f t="shared" si="6"/>
        <v>15.000000000000027</v>
      </c>
      <c r="J76" s="5">
        <f t="shared" si="7"/>
        <v>919.93985955125675</v>
      </c>
    </row>
    <row r="77" spans="1:10">
      <c r="A77" s="1">
        <v>43924</v>
      </c>
      <c r="B77" s="2">
        <v>0.38541666666666669</v>
      </c>
      <c r="C77" s="22">
        <v>0</v>
      </c>
      <c r="D77" s="22">
        <v>1.179</v>
      </c>
      <c r="E77" s="22">
        <v>11.382999999999999</v>
      </c>
      <c r="F77" s="3">
        <f t="shared" si="4"/>
        <v>0.39449340000000005</v>
      </c>
      <c r="G77" s="4">
        <f t="shared" si="5"/>
        <v>60.248202466273746</v>
      </c>
      <c r="H77" s="22" t="s">
        <v>640</v>
      </c>
      <c r="I77" s="22">
        <f t="shared" si="6"/>
        <v>14.999999999999947</v>
      </c>
      <c r="J77" s="5">
        <f t="shared" si="7"/>
        <v>903.72303699410293</v>
      </c>
    </row>
    <row r="78" spans="1:10">
      <c r="A78" s="1">
        <v>43924</v>
      </c>
      <c r="B78" s="2">
        <v>0.39583333333333331</v>
      </c>
      <c r="C78" s="22">
        <v>0</v>
      </c>
      <c r="D78" s="22">
        <v>1.2270000000000001</v>
      </c>
      <c r="E78" s="22">
        <v>11.49</v>
      </c>
      <c r="F78" s="3">
        <f t="shared" si="4"/>
        <v>0.41055420000000004</v>
      </c>
      <c r="G78" s="4">
        <f t="shared" si="5"/>
        <v>66.915077706367597</v>
      </c>
      <c r="H78" s="22" t="s">
        <v>640</v>
      </c>
      <c r="I78" s="22">
        <f t="shared" si="6"/>
        <v>15.000000000000027</v>
      </c>
      <c r="J78" s="5">
        <f t="shared" si="7"/>
        <v>1003.7261655955158</v>
      </c>
    </row>
    <row r="79" spans="1:10">
      <c r="A79" s="1">
        <v>43924</v>
      </c>
      <c r="B79" s="2">
        <v>0.40625</v>
      </c>
      <c r="C79" s="22">
        <v>0</v>
      </c>
      <c r="D79" s="22">
        <v>1.21</v>
      </c>
      <c r="E79" s="22">
        <v>11.629</v>
      </c>
      <c r="F79" s="3">
        <f t="shared" si="4"/>
        <v>0.404866</v>
      </c>
      <c r="G79" s="4">
        <f t="shared" si="5"/>
        <v>64.50424711780002</v>
      </c>
      <c r="H79" s="22" t="s">
        <v>640</v>
      </c>
      <c r="I79" s="22">
        <f t="shared" si="6"/>
        <v>15.000000000000027</v>
      </c>
      <c r="J79" s="5">
        <f t="shared" si="7"/>
        <v>967.56370676700203</v>
      </c>
    </row>
    <row r="80" spans="1:10">
      <c r="A80" s="1">
        <v>43924</v>
      </c>
      <c r="B80" s="2">
        <v>0.41666666666666669</v>
      </c>
      <c r="C80" s="22">
        <v>0</v>
      </c>
      <c r="D80" s="22">
        <v>1.1930000000000001</v>
      </c>
      <c r="E80" s="22">
        <v>11.816000000000001</v>
      </c>
      <c r="F80" s="3">
        <f t="shared" si="4"/>
        <v>0.39917780000000003</v>
      </c>
      <c r="G80" s="4">
        <f t="shared" si="5"/>
        <v>62.147999491350618</v>
      </c>
      <c r="H80" s="22" t="s">
        <v>640</v>
      </c>
      <c r="I80" s="22">
        <f t="shared" si="6"/>
        <v>14.999999999999947</v>
      </c>
      <c r="J80" s="5">
        <f t="shared" si="7"/>
        <v>932.21999237025591</v>
      </c>
    </row>
    <row r="81" spans="1:10">
      <c r="A81" s="1">
        <v>43924</v>
      </c>
      <c r="B81" s="2">
        <v>0.42708333333333331</v>
      </c>
      <c r="C81" s="22">
        <v>0</v>
      </c>
      <c r="D81" s="22">
        <v>1.17</v>
      </c>
      <c r="E81" s="22">
        <v>12.118</v>
      </c>
      <c r="F81" s="3">
        <f t="shared" si="4"/>
        <v>0.391482</v>
      </c>
      <c r="G81" s="4">
        <f t="shared" si="5"/>
        <v>59.046152390558767</v>
      </c>
      <c r="H81" s="22" t="s">
        <v>640</v>
      </c>
      <c r="I81" s="22">
        <f t="shared" si="6"/>
        <v>15.000000000000027</v>
      </c>
      <c r="J81" s="5">
        <f t="shared" si="7"/>
        <v>885.69228585838312</v>
      </c>
    </row>
    <row r="82" spans="1:10">
      <c r="A82" s="1">
        <v>43924</v>
      </c>
      <c r="B82" s="2">
        <v>0.4375</v>
      </c>
      <c r="C82" s="22">
        <v>0</v>
      </c>
      <c r="D82" s="22">
        <v>1.292</v>
      </c>
      <c r="E82" s="22">
        <v>12.42</v>
      </c>
      <c r="F82" s="3">
        <f t="shared" si="4"/>
        <v>0.4323032</v>
      </c>
      <c r="G82" s="4">
        <f t="shared" si="5"/>
        <v>76.644888644904071</v>
      </c>
      <c r="H82" s="22" t="s">
        <v>640</v>
      </c>
      <c r="I82" s="22">
        <f t="shared" si="6"/>
        <v>15.000000000000027</v>
      </c>
      <c r="J82" s="5">
        <f t="shared" si="7"/>
        <v>1149.6733296735631</v>
      </c>
    </row>
    <row r="83" spans="1:10">
      <c r="A83" s="1">
        <v>43924</v>
      </c>
      <c r="B83" s="2">
        <v>0.44791666666666669</v>
      </c>
      <c r="C83" s="22">
        <v>0</v>
      </c>
      <c r="D83" s="22">
        <v>1.276</v>
      </c>
      <c r="E83" s="22">
        <v>12.705</v>
      </c>
      <c r="F83" s="3">
        <f t="shared" si="4"/>
        <v>0.42694960000000004</v>
      </c>
      <c r="G83" s="4">
        <f t="shared" si="5"/>
        <v>74.173719959742101</v>
      </c>
      <c r="H83" s="22" t="s">
        <v>640</v>
      </c>
      <c r="I83" s="22">
        <f t="shared" si="6"/>
        <v>14.999999999999947</v>
      </c>
      <c r="J83" s="5">
        <f t="shared" si="7"/>
        <v>1112.6057993961276</v>
      </c>
    </row>
    <row r="84" spans="1:10">
      <c r="A84" s="1">
        <v>43924</v>
      </c>
      <c r="B84" s="2">
        <v>0.45833333333333331</v>
      </c>
      <c r="C84" s="22">
        <v>0</v>
      </c>
      <c r="D84" s="22">
        <v>1.2609999999999999</v>
      </c>
      <c r="E84" s="22">
        <v>12.964</v>
      </c>
      <c r="F84" s="3">
        <f t="shared" si="4"/>
        <v>0.42193059999999999</v>
      </c>
      <c r="G84" s="4">
        <f t="shared" si="5"/>
        <v>71.902412845476903</v>
      </c>
      <c r="H84" s="22" t="s">
        <v>640</v>
      </c>
      <c r="I84" s="22">
        <f t="shared" si="6"/>
        <v>15.000000000000027</v>
      </c>
      <c r="J84" s="5">
        <f t="shared" si="7"/>
        <v>1078.5361926821554</v>
      </c>
    </row>
    <row r="85" spans="1:10">
      <c r="A85" s="1">
        <v>43924</v>
      </c>
      <c r="B85" s="2">
        <v>0.46875</v>
      </c>
      <c r="C85" s="22">
        <v>0</v>
      </c>
      <c r="D85" s="22">
        <v>1.2090000000000001</v>
      </c>
      <c r="E85" s="22">
        <v>13.135</v>
      </c>
      <c r="F85" s="3">
        <f t="shared" si="4"/>
        <v>0.40453140000000004</v>
      </c>
      <c r="G85" s="4">
        <f t="shared" si="5"/>
        <v>64.364138089747215</v>
      </c>
      <c r="H85" s="22" t="s">
        <v>640</v>
      </c>
      <c r="I85" s="22">
        <f t="shared" si="6"/>
        <v>15.000000000000027</v>
      </c>
      <c r="J85" s="5">
        <f t="shared" si="7"/>
        <v>965.46207134620988</v>
      </c>
    </row>
    <row r="86" spans="1:10">
      <c r="A86" s="1">
        <v>43924</v>
      </c>
      <c r="B86" s="2">
        <v>0.47916666666666669</v>
      </c>
      <c r="C86" s="22">
        <v>0</v>
      </c>
      <c r="D86" s="22">
        <v>1.3480000000000001</v>
      </c>
      <c r="E86" s="22">
        <v>13.318</v>
      </c>
      <c r="F86" s="3">
        <f t="shared" si="4"/>
        <v>0.45104080000000002</v>
      </c>
      <c r="G86" s="4">
        <f t="shared" si="5"/>
        <v>85.693366210855089</v>
      </c>
      <c r="H86" s="22" t="s">
        <v>640</v>
      </c>
      <c r="I86" s="22">
        <f t="shared" si="6"/>
        <v>14.999999999999947</v>
      </c>
      <c r="J86" s="5">
        <f t="shared" si="7"/>
        <v>1285.4004931628217</v>
      </c>
    </row>
    <row r="87" spans="1:10">
      <c r="A87" s="1">
        <v>43924</v>
      </c>
      <c r="B87" s="2">
        <v>0.48958333333333331</v>
      </c>
      <c r="C87" s="22">
        <v>0</v>
      </c>
      <c r="D87" s="22">
        <v>1.2769999999999999</v>
      </c>
      <c r="E87" s="22">
        <v>13.492000000000001</v>
      </c>
      <c r="F87" s="3">
        <f t="shared" si="4"/>
        <v>0.4272842</v>
      </c>
      <c r="G87" s="4">
        <f t="shared" si="5"/>
        <v>74.326699193659266</v>
      </c>
      <c r="H87" s="22" t="s">
        <v>640</v>
      </c>
      <c r="I87" s="22">
        <f t="shared" si="6"/>
        <v>15.000000000000027</v>
      </c>
      <c r="J87" s="5">
        <f t="shared" si="7"/>
        <v>1114.900487904891</v>
      </c>
    </row>
    <row r="88" spans="1:10">
      <c r="A88" s="1">
        <v>43924</v>
      </c>
      <c r="B88" s="2">
        <v>0.5</v>
      </c>
      <c r="C88" s="22">
        <v>0</v>
      </c>
      <c r="D88" s="22">
        <v>1.248</v>
      </c>
      <c r="E88" s="22">
        <v>13.680999999999999</v>
      </c>
      <c r="F88" s="3">
        <f t="shared" si="4"/>
        <v>0.41758080000000003</v>
      </c>
      <c r="G88" s="4">
        <f t="shared" si="5"/>
        <v>69.969238300524083</v>
      </c>
      <c r="H88" s="22" t="s">
        <v>640</v>
      </c>
      <c r="I88" s="22">
        <f t="shared" si="6"/>
        <v>14.999999999999947</v>
      </c>
      <c r="J88" s="5">
        <f t="shared" si="7"/>
        <v>1049.5385745078574</v>
      </c>
    </row>
    <row r="89" spans="1:10">
      <c r="A89" s="1">
        <v>43924</v>
      </c>
      <c r="B89" s="2">
        <v>0.51041666666666663</v>
      </c>
      <c r="C89" s="22">
        <v>0</v>
      </c>
      <c r="D89" s="22">
        <v>1.1950000000000001</v>
      </c>
      <c r="E89" s="22">
        <v>13.845000000000001</v>
      </c>
      <c r="F89" s="3">
        <f t="shared" si="4"/>
        <v>0.39984700000000001</v>
      </c>
      <c r="G89" s="4">
        <f t="shared" si="5"/>
        <v>62.422387820818578</v>
      </c>
      <c r="H89" s="22" t="s">
        <v>640</v>
      </c>
      <c r="I89" s="22">
        <f t="shared" si="6"/>
        <v>15.000000000000107</v>
      </c>
      <c r="J89" s="5">
        <f t="shared" si="7"/>
        <v>936.33581731228537</v>
      </c>
    </row>
    <row r="90" spans="1:10">
      <c r="A90" s="1">
        <v>43924</v>
      </c>
      <c r="B90" s="2">
        <v>0.52083333333333337</v>
      </c>
      <c r="C90" s="22">
        <v>0</v>
      </c>
      <c r="D90" s="22">
        <v>1.3660000000000001</v>
      </c>
      <c r="E90" s="22">
        <v>13.978999999999999</v>
      </c>
      <c r="F90" s="3">
        <f t="shared" si="4"/>
        <v>0.45706360000000007</v>
      </c>
      <c r="G90" s="4">
        <f t="shared" si="5"/>
        <v>88.73564816584873</v>
      </c>
      <c r="H90" s="22" t="s">
        <v>640</v>
      </c>
      <c r="I90" s="22">
        <f t="shared" si="6"/>
        <v>14.999999999999947</v>
      </c>
      <c r="J90" s="5">
        <f t="shared" si="7"/>
        <v>1331.0347224877262</v>
      </c>
    </row>
    <row r="91" spans="1:10">
      <c r="A91" s="1">
        <v>43924</v>
      </c>
      <c r="B91" s="2">
        <v>0.53125</v>
      </c>
      <c r="C91" s="22">
        <v>0</v>
      </c>
      <c r="D91" s="22">
        <v>1.319</v>
      </c>
      <c r="E91" s="22">
        <v>14.087999999999999</v>
      </c>
      <c r="F91" s="3">
        <f t="shared" si="4"/>
        <v>0.44133739999999999</v>
      </c>
      <c r="G91" s="4">
        <f t="shared" si="5"/>
        <v>80.929451868362406</v>
      </c>
      <c r="H91" s="22" t="s">
        <v>640</v>
      </c>
      <c r="I91" s="22">
        <f t="shared" si="6"/>
        <v>14.999999999999947</v>
      </c>
      <c r="J91" s="5">
        <f t="shared" si="7"/>
        <v>1213.9417780254319</v>
      </c>
    </row>
    <row r="92" spans="1:10">
      <c r="A92" s="1">
        <v>43924</v>
      </c>
      <c r="B92" s="2">
        <v>0.54166666666666663</v>
      </c>
      <c r="C92" s="22">
        <v>0</v>
      </c>
      <c r="D92" s="22">
        <v>1.278</v>
      </c>
      <c r="E92" s="22">
        <v>14.189</v>
      </c>
      <c r="F92" s="3">
        <f t="shared" si="4"/>
        <v>0.42761880000000002</v>
      </c>
      <c r="G92" s="4">
        <f t="shared" si="5"/>
        <v>74.479873819406109</v>
      </c>
      <c r="H92" s="22" t="s">
        <v>640</v>
      </c>
      <c r="I92" s="22">
        <f t="shared" si="6"/>
        <v>15.000000000000107</v>
      </c>
      <c r="J92" s="5">
        <f t="shared" si="7"/>
        <v>1117.1981072910996</v>
      </c>
    </row>
    <row r="93" spans="1:10">
      <c r="A93" s="1">
        <v>43924</v>
      </c>
      <c r="B93" s="2">
        <v>0.55208333333333337</v>
      </c>
      <c r="C93" s="22">
        <v>0</v>
      </c>
      <c r="D93" s="22">
        <v>1.2889999999999999</v>
      </c>
      <c r="E93" s="22">
        <v>17.207000000000001</v>
      </c>
      <c r="F93" s="3">
        <f t="shared" si="4"/>
        <v>0.4312994</v>
      </c>
      <c r="G93" s="4">
        <f t="shared" si="5"/>
        <v>76.177718108544809</v>
      </c>
      <c r="H93" s="22" t="s">
        <v>640</v>
      </c>
      <c r="I93" s="22">
        <f t="shared" si="6"/>
        <v>14.999999999999947</v>
      </c>
      <c r="J93" s="5">
        <f t="shared" si="7"/>
        <v>1142.6657716281682</v>
      </c>
    </row>
    <row r="94" spans="1:10">
      <c r="A94" s="1">
        <v>43924</v>
      </c>
      <c r="B94" s="2">
        <v>0.5625</v>
      </c>
      <c r="C94" s="22">
        <v>0</v>
      </c>
      <c r="D94" s="22">
        <v>1.349</v>
      </c>
      <c r="E94" s="22">
        <v>15.874000000000001</v>
      </c>
      <c r="F94" s="3">
        <f t="shared" si="4"/>
        <v>0.45137539999999998</v>
      </c>
      <c r="G94" s="4">
        <f t="shared" si="5"/>
        <v>85.860658373375159</v>
      </c>
      <c r="H94" s="22" t="s">
        <v>640</v>
      </c>
      <c r="I94" s="22">
        <f t="shared" si="6"/>
        <v>14.999999999999947</v>
      </c>
      <c r="J94" s="5">
        <f t="shared" si="7"/>
        <v>1287.9098756006229</v>
      </c>
    </row>
    <row r="95" spans="1:10">
      <c r="A95" s="1">
        <v>43924</v>
      </c>
      <c r="B95" s="2">
        <v>0.57291666666666663</v>
      </c>
      <c r="C95" s="22">
        <v>0</v>
      </c>
      <c r="D95" s="22">
        <v>1.3080000000000001</v>
      </c>
      <c r="E95" s="22">
        <v>15.628</v>
      </c>
      <c r="F95" s="3">
        <f t="shared" si="4"/>
        <v>0.43765680000000001</v>
      </c>
      <c r="G95" s="4">
        <f t="shared" si="5"/>
        <v>79.166446846966849</v>
      </c>
      <c r="H95" s="22" t="s">
        <v>640</v>
      </c>
      <c r="I95" s="22">
        <f t="shared" si="6"/>
        <v>15.000000000000107</v>
      </c>
      <c r="J95" s="5">
        <f t="shared" si="7"/>
        <v>1187.4967027045111</v>
      </c>
    </row>
    <row r="96" spans="1:10">
      <c r="A96" s="1">
        <v>43924</v>
      </c>
      <c r="B96" s="2">
        <v>0.58333333333333337</v>
      </c>
      <c r="C96" s="22">
        <v>0</v>
      </c>
      <c r="D96" s="22">
        <v>1.26</v>
      </c>
      <c r="E96" s="22">
        <v>15.486000000000001</v>
      </c>
      <c r="F96" s="3">
        <f t="shared" si="4"/>
        <v>0.42159600000000003</v>
      </c>
      <c r="G96" s="4">
        <f t="shared" si="5"/>
        <v>71.752546750082715</v>
      </c>
      <c r="H96" s="22" t="s">
        <v>640</v>
      </c>
      <c r="I96" s="22">
        <f t="shared" si="6"/>
        <v>14.999999999999947</v>
      </c>
      <c r="J96" s="5">
        <f t="shared" si="7"/>
        <v>1076.2882012512368</v>
      </c>
    </row>
    <row r="97" spans="1:10">
      <c r="A97" s="1">
        <v>43924</v>
      </c>
      <c r="B97" s="2">
        <v>0.59375</v>
      </c>
      <c r="C97" s="22">
        <v>0</v>
      </c>
      <c r="D97" s="22">
        <v>1.208</v>
      </c>
      <c r="E97" s="22">
        <v>15.41</v>
      </c>
      <c r="F97" s="3">
        <f t="shared" si="4"/>
        <v>0.40419680000000002</v>
      </c>
      <c r="G97" s="4">
        <f t="shared" si="5"/>
        <v>64.224217832445234</v>
      </c>
      <c r="H97" s="22" t="s">
        <v>640</v>
      </c>
      <c r="I97" s="22">
        <f t="shared" si="6"/>
        <v>14.999999999999947</v>
      </c>
      <c r="J97" s="5">
        <f t="shared" si="7"/>
        <v>963.36326748667511</v>
      </c>
    </row>
    <row r="98" spans="1:10">
      <c r="A98" s="1">
        <v>43924</v>
      </c>
      <c r="B98" s="2">
        <v>0.60416666666666663</v>
      </c>
      <c r="C98" s="22">
        <v>0</v>
      </c>
      <c r="D98" s="22">
        <v>1.3180000000000001</v>
      </c>
      <c r="E98" s="22">
        <v>15.388999999999999</v>
      </c>
      <c r="F98" s="3">
        <f t="shared" si="4"/>
        <v>0.44100280000000003</v>
      </c>
      <c r="G98" s="4">
        <f t="shared" si="5"/>
        <v>80.76818351021771</v>
      </c>
      <c r="H98" s="22" t="s">
        <v>640</v>
      </c>
      <c r="I98" s="22">
        <v>15</v>
      </c>
      <c r="J98" s="5">
        <f t="shared" si="7"/>
        <v>1211.5227526532656</v>
      </c>
    </row>
  </sheetData>
  <sheetProtection sheet="1" objects="1" scenarios="1"/>
  <phoneticPr fontId="2" type="noConversion"/>
  <conditionalFormatting sqref="F2:F98">
    <cfRule type="cellIs" dxfId="6" priority="1" operator="lessThan">
      <formula>0.15</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07F84-D47F-4ACD-8255-20A62E137132}">
  <sheetPr>
    <tabColor theme="5" tint="0.59999389629810485"/>
  </sheetPr>
  <dimension ref="A1:P100"/>
  <sheetViews>
    <sheetView workbookViewId="0">
      <selection activeCell="K3" sqref="K3"/>
    </sheetView>
  </sheetViews>
  <sheetFormatPr defaultRowHeight="15"/>
  <cols>
    <col min="1" max="1" width="8.42578125" bestFit="1" customWidth="1"/>
    <col min="2" max="2" width="11.28515625" bestFit="1" customWidth="1"/>
    <col min="3" max="3" width="3.42578125" bestFit="1" customWidth="1"/>
    <col min="4" max="4" width="10.42578125" bestFit="1" customWidth="1"/>
    <col min="5" max="5" width="13.28515625" bestFit="1" customWidth="1"/>
    <col min="6" max="6" width="8.85546875" bestFit="1" customWidth="1"/>
    <col min="7" max="7" width="10.42578125" bestFit="1" customWidth="1"/>
    <col min="8" max="8" width="8" bestFit="1" customWidth="1"/>
    <col min="9" max="9" width="7.85546875" bestFit="1" customWidth="1"/>
    <col min="10" max="10" width="11.85546875" bestFit="1" customWidth="1"/>
    <col min="11" max="11" width="16.7109375" bestFit="1" customWidth="1"/>
    <col min="12" max="12" width="10.42578125" bestFit="1" customWidth="1"/>
    <col min="13" max="13" width="8" bestFit="1" customWidth="1"/>
    <col min="14" max="14" width="7.85546875" bestFit="1" customWidth="1"/>
    <col min="15" max="15" width="11.85546875" bestFit="1" customWidth="1"/>
    <col min="16" max="16" width="16.7109375" bestFit="1" customWidth="1"/>
  </cols>
  <sheetData>
    <row r="1" spans="1:16">
      <c r="A1" s="22"/>
      <c r="B1" s="22"/>
      <c r="C1" s="22"/>
      <c r="D1" s="22"/>
      <c r="E1" s="22"/>
      <c r="F1" s="22"/>
      <c r="G1" s="22"/>
      <c r="H1" s="22"/>
      <c r="I1" s="22"/>
      <c r="J1" s="22"/>
      <c r="K1" s="22"/>
      <c r="L1" s="385" t="s">
        <v>641</v>
      </c>
      <c r="M1" s="385"/>
      <c r="N1" s="385"/>
      <c r="O1" s="385"/>
      <c r="P1" s="385"/>
    </row>
    <row r="2" spans="1:16">
      <c r="A2" s="22" t="s">
        <v>244</v>
      </c>
      <c r="B2" s="22" t="s">
        <v>245</v>
      </c>
      <c r="C2" s="22" t="s">
        <v>622</v>
      </c>
      <c r="D2" s="22" t="s">
        <v>633</v>
      </c>
      <c r="E2" s="22" t="s">
        <v>624</v>
      </c>
      <c r="F2" s="22" t="s">
        <v>642</v>
      </c>
      <c r="G2" s="22" t="s">
        <v>643</v>
      </c>
      <c r="H2" s="22" t="s">
        <v>117</v>
      </c>
      <c r="I2" s="22" t="s">
        <v>627</v>
      </c>
      <c r="J2" s="22" t="s">
        <v>628</v>
      </c>
      <c r="K2" s="22" t="s">
        <v>634</v>
      </c>
      <c r="L2" s="15" t="s">
        <v>643</v>
      </c>
      <c r="M2" s="15" t="s">
        <v>117</v>
      </c>
      <c r="N2" s="15" t="s">
        <v>627</v>
      </c>
      <c r="O2" s="15" t="s">
        <v>628</v>
      </c>
      <c r="P2" s="15" t="s">
        <v>634</v>
      </c>
    </row>
    <row r="3" spans="1:16">
      <c r="A3" s="1">
        <v>43923</v>
      </c>
      <c r="B3" s="2">
        <v>0.60416666666666663</v>
      </c>
      <c r="C3" s="22">
        <v>0</v>
      </c>
      <c r="D3" s="22">
        <v>1.986</v>
      </c>
      <c r="E3" s="22">
        <v>16.920999999999999</v>
      </c>
      <c r="F3" s="3">
        <f t="shared" ref="F3:F66" si="0">D3*0.3346</f>
        <v>0.66451559999999998</v>
      </c>
      <c r="G3" s="12">
        <f t="shared" ref="G3:G66" si="1">695.6*(F3^2.58)</f>
        <v>242.33879258664737</v>
      </c>
      <c r="H3" s="22" t="s">
        <v>33</v>
      </c>
      <c r="I3" s="22">
        <f>CONVERT((B4-B3),"day","mn")</f>
        <v>15.000000000000107</v>
      </c>
      <c r="J3" s="5">
        <f>G3*I3</f>
        <v>3635.0818887997366</v>
      </c>
      <c r="K3" s="5">
        <f>SUM(J3:J100)</f>
        <v>219345.97950104758</v>
      </c>
      <c r="L3" s="16">
        <f>IF(G3&gt;120,120,G3)</f>
        <v>120</v>
      </c>
      <c r="M3" s="22" t="s">
        <v>33</v>
      </c>
      <c r="N3" s="22">
        <f>CONVERT((B4-B3),"day","mn")</f>
        <v>15.000000000000107</v>
      </c>
      <c r="O3" s="5">
        <f>L3*N3</f>
        <v>1800.0000000000127</v>
      </c>
      <c r="P3" s="5">
        <f>SUM(O3:O100)</f>
        <v>174828.38409593585</v>
      </c>
    </row>
    <row r="4" spans="1:16">
      <c r="A4" s="1">
        <v>43923</v>
      </c>
      <c r="B4" s="2">
        <v>0.61458333333333337</v>
      </c>
      <c r="C4" s="22">
        <v>0</v>
      </c>
      <c r="D4" s="22">
        <v>1.9550000000000001</v>
      </c>
      <c r="E4" s="22">
        <v>16.867999999999999</v>
      </c>
      <c r="F4" s="3">
        <f t="shared" si="0"/>
        <v>0.65414300000000003</v>
      </c>
      <c r="G4" s="12">
        <f t="shared" si="1"/>
        <v>232.69933120540833</v>
      </c>
      <c r="H4" s="22" t="s">
        <v>33</v>
      </c>
      <c r="I4" s="22">
        <f t="shared" ref="I4:I67" si="2">CONVERT((B5-B4),"day","mn")</f>
        <v>14.999999999999947</v>
      </c>
      <c r="J4" s="5">
        <f t="shared" ref="J4:J67" si="3">G4*I4</f>
        <v>3490.4899680811127</v>
      </c>
      <c r="K4" s="22"/>
      <c r="L4" s="16">
        <f t="shared" ref="L4:L67" si="4">IF(G4&gt;120,120,G4)</f>
        <v>120</v>
      </c>
      <c r="M4" s="22" t="s">
        <v>33</v>
      </c>
      <c r="N4" s="22">
        <f t="shared" ref="N4:N67" si="5">CONVERT((B5-B4),"day","mn")</f>
        <v>14.999999999999947</v>
      </c>
      <c r="O4" s="5">
        <f t="shared" ref="O4:O67" si="6">L4*N4</f>
        <v>1799.9999999999936</v>
      </c>
      <c r="P4" s="22"/>
    </row>
    <row r="5" spans="1:16">
      <c r="A5" s="1">
        <v>43923</v>
      </c>
      <c r="B5" s="2">
        <v>0.625</v>
      </c>
      <c r="C5" s="22">
        <v>0</v>
      </c>
      <c r="D5" s="22">
        <v>1.865</v>
      </c>
      <c r="E5" s="22">
        <v>16.861999999999998</v>
      </c>
      <c r="F5" s="3">
        <f t="shared" si="0"/>
        <v>0.62402900000000006</v>
      </c>
      <c r="G5" s="12">
        <f t="shared" si="1"/>
        <v>206.05724409830816</v>
      </c>
      <c r="H5" s="22" t="s">
        <v>33</v>
      </c>
      <c r="I5" s="22">
        <f t="shared" si="2"/>
        <v>14.999999999999947</v>
      </c>
      <c r="J5" s="5">
        <f t="shared" si="3"/>
        <v>3090.8586614746114</v>
      </c>
      <c r="K5" s="22"/>
      <c r="L5" s="16">
        <f t="shared" si="4"/>
        <v>120</v>
      </c>
      <c r="M5" s="22" t="s">
        <v>33</v>
      </c>
      <c r="N5" s="22">
        <f t="shared" si="5"/>
        <v>14.999999999999947</v>
      </c>
      <c r="O5" s="5">
        <f t="shared" si="6"/>
        <v>1799.9999999999936</v>
      </c>
      <c r="P5" s="22"/>
    </row>
    <row r="6" spans="1:16">
      <c r="A6" s="1">
        <v>43923</v>
      </c>
      <c r="B6" s="2">
        <v>0.63541666666666663</v>
      </c>
      <c r="C6" s="22">
        <v>0</v>
      </c>
      <c r="D6" s="22">
        <v>1.841</v>
      </c>
      <c r="E6" s="22">
        <v>16.859000000000002</v>
      </c>
      <c r="F6" s="3">
        <f t="shared" si="0"/>
        <v>0.61599859999999995</v>
      </c>
      <c r="G6" s="12">
        <f t="shared" si="1"/>
        <v>199.28529972792035</v>
      </c>
      <c r="H6" s="22" t="s">
        <v>33</v>
      </c>
      <c r="I6" s="22">
        <f t="shared" si="2"/>
        <v>15.000000000000107</v>
      </c>
      <c r="J6" s="5">
        <f t="shared" si="3"/>
        <v>2989.2794959188263</v>
      </c>
      <c r="K6" s="22"/>
      <c r="L6" s="16">
        <f t="shared" si="4"/>
        <v>120</v>
      </c>
      <c r="M6" s="22" t="s">
        <v>33</v>
      </c>
      <c r="N6" s="22">
        <f t="shared" si="5"/>
        <v>15.000000000000107</v>
      </c>
      <c r="O6" s="5">
        <f t="shared" si="6"/>
        <v>1800.0000000000127</v>
      </c>
      <c r="P6" s="22"/>
    </row>
    <row r="7" spans="1:16">
      <c r="A7" s="1">
        <v>43923</v>
      </c>
      <c r="B7" s="2">
        <v>0.64583333333333337</v>
      </c>
      <c r="C7" s="22">
        <v>0</v>
      </c>
      <c r="D7" s="22">
        <v>1.859</v>
      </c>
      <c r="E7" s="22">
        <v>16.811</v>
      </c>
      <c r="F7" s="3">
        <f t="shared" si="0"/>
        <v>0.62202140000000006</v>
      </c>
      <c r="G7" s="12">
        <f t="shared" si="1"/>
        <v>204.35125792308088</v>
      </c>
      <c r="H7" s="22" t="s">
        <v>33</v>
      </c>
      <c r="I7" s="22">
        <f t="shared" si="2"/>
        <v>14.999999999999947</v>
      </c>
      <c r="J7" s="5">
        <f t="shared" si="3"/>
        <v>3065.2688688462022</v>
      </c>
      <c r="K7" s="22"/>
      <c r="L7" s="16">
        <f t="shared" si="4"/>
        <v>120</v>
      </c>
      <c r="M7" s="22" t="s">
        <v>33</v>
      </c>
      <c r="N7" s="22">
        <f t="shared" si="5"/>
        <v>14.999999999999947</v>
      </c>
      <c r="O7" s="5">
        <f t="shared" si="6"/>
        <v>1799.9999999999936</v>
      </c>
      <c r="P7" s="22"/>
    </row>
    <row r="8" spans="1:16">
      <c r="A8" s="1">
        <v>43923</v>
      </c>
      <c r="B8" s="2">
        <v>0.65625</v>
      </c>
      <c r="C8" s="22">
        <v>0</v>
      </c>
      <c r="D8" s="22">
        <v>1.839</v>
      </c>
      <c r="E8" s="22">
        <v>16.765000000000001</v>
      </c>
      <c r="F8" s="3">
        <f t="shared" si="0"/>
        <v>0.61532940000000003</v>
      </c>
      <c r="G8" s="12">
        <f t="shared" si="1"/>
        <v>198.72721727032112</v>
      </c>
      <c r="H8" s="22" t="s">
        <v>33</v>
      </c>
      <c r="I8" s="22">
        <f t="shared" si="2"/>
        <v>14.999999999999947</v>
      </c>
      <c r="J8" s="5">
        <f t="shared" si="3"/>
        <v>2980.9082590548064</v>
      </c>
      <c r="K8" s="22"/>
      <c r="L8" s="16">
        <f t="shared" si="4"/>
        <v>120</v>
      </c>
      <c r="M8" s="22" t="s">
        <v>33</v>
      </c>
      <c r="N8" s="22">
        <f t="shared" si="5"/>
        <v>14.999999999999947</v>
      </c>
      <c r="O8" s="5">
        <f t="shared" si="6"/>
        <v>1799.9999999999936</v>
      </c>
      <c r="P8" s="22"/>
    </row>
    <row r="9" spans="1:16">
      <c r="A9" s="1">
        <v>43923</v>
      </c>
      <c r="B9" s="2">
        <v>0.66666666666666663</v>
      </c>
      <c r="C9" s="22">
        <v>0</v>
      </c>
      <c r="D9" s="22">
        <v>1.8169999999999999</v>
      </c>
      <c r="E9" s="22">
        <v>16.687999999999999</v>
      </c>
      <c r="F9" s="3">
        <f t="shared" si="0"/>
        <v>0.60796819999999996</v>
      </c>
      <c r="G9" s="12">
        <f t="shared" si="1"/>
        <v>192.65141459335618</v>
      </c>
      <c r="H9" s="22" t="s">
        <v>33</v>
      </c>
      <c r="I9" s="22">
        <f t="shared" si="2"/>
        <v>15.000000000000107</v>
      </c>
      <c r="J9" s="5">
        <f t="shared" si="3"/>
        <v>2889.7712189003632</v>
      </c>
      <c r="K9" s="22"/>
      <c r="L9" s="16">
        <f t="shared" si="4"/>
        <v>120</v>
      </c>
      <c r="M9" s="22" t="s">
        <v>33</v>
      </c>
      <c r="N9" s="22">
        <f t="shared" si="5"/>
        <v>15.000000000000107</v>
      </c>
      <c r="O9" s="5">
        <f t="shared" si="6"/>
        <v>1800.0000000000127</v>
      </c>
      <c r="P9" s="22"/>
    </row>
    <row r="10" spans="1:16">
      <c r="A10" s="1">
        <v>43923</v>
      </c>
      <c r="B10" s="2">
        <v>0.67708333333333337</v>
      </c>
      <c r="C10" s="22">
        <v>0</v>
      </c>
      <c r="D10" s="22">
        <v>1.79</v>
      </c>
      <c r="E10" s="22">
        <v>16.581</v>
      </c>
      <c r="F10" s="3">
        <f t="shared" si="0"/>
        <v>0.59893400000000008</v>
      </c>
      <c r="G10" s="12">
        <f t="shared" si="1"/>
        <v>185.35201417146604</v>
      </c>
      <c r="H10" s="22" t="s">
        <v>33</v>
      </c>
      <c r="I10" s="22">
        <f t="shared" si="2"/>
        <v>14.999999999999947</v>
      </c>
      <c r="J10" s="5">
        <f t="shared" si="3"/>
        <v>2780.2802125719809</v>
      </c>
      <c r="K10" s="22"/>
      <c r="L10" s="16">
        <f t="shared" si="4"/>
        <v>120</v>
      </c>
      <c r="M10" s="22" t="s">
        <v>33</v>
      </c>
      <c r="N10" s="22">
        <f t="shared" si="5"/>
        <v>14.999999999999947</v>
      </c>
      <c r="O10" s="5">
        <f t="shared" si="6"/>
        <v>1799.9999999999936</v>
      </c>
      <c r="P10" s="22"/>
    </row>
    <row r="11" spans="1:16">
      <c r="A11" s="1">
        <v>43923</v>
      </c>
      <c r="B11" s="2">
        <v>0.6875</v>
      </c>
      <c r="C11" s="22">
        <v>0</v>
      </c>
      <c r="D11" s="22">
        <v>1.784</v>
      </c>
      <c r="E11" s="22">
        <v>16.428999999999998</v>
      </c>
      <c r="F11" s="3">
        <f t="shared" si="0"/>
        <v>0.59692640000000008</v>
      </c>
      <c r="G11" s="12">
        <f t="shared" si="1"/>
        <v>183.75332355424476</v>
      </c>
      <c r="H11" s="22" t="s">
        <v>33</v>
      </c>
      <c r="I11" s="22">
        <f t="shared" si="2"/>
        <v>14.999999999999947</v>
      </c>
      <c r="J11" s="5">
        <f t="shared" si="3"/>
        <v>2756.2998533136615</v>
      </c>
      <c r="K11" s="22"/>
      <c r="L11" s="16">
        <f t="shared" si="4"/>
        <v>120</v>
      </c>
      <c r="M11" s="22" t="s">
        <v>33</v>
      </c>
      <c r="N11" s="22">
        <f t="shared" si="5"/>
        <v>14.999999999999947</v>
      </c>
      <c r="O11" s="5">
        <f t="shared" si="6"/>
        <v>1799.9999999999936</v>
      </c>
      <c r="P11" s="22"/>
    </row>
    <row r="12" spans="1:16">
      <c r="A12" s="1">
        <v>43923</v>
      </c>
      <c r="B12" s="2">
        <v>0.69791666666666663</v>
      </c>
      <c r="C12" s="22">
        <v>0</v>
      </c>
      <c r="D12" s="22">
        <v>1.77</v>
      </c>
      <c r="E12" s="22">
        <v>16.292000000000002</v>
      </c>
      <c r="F12" s="3">
        <f t="shared" si="0"/>
        <v>0.59224200000000005</v>
      </c>
      <c r="G12" s="12">
        <f t="shared" si="1"/>
        <v>180.05596646405999</v>
      </c>
      <c r="H12" s="22" t="s">
        <v>33</v>
      </c>
      <c r="I12" s="22">
        <f t="shared" si="2"/>
        <v>15.000000000000107</v>
      </c>
      <c r="J12" s="5">
        <f t="shared" si="3"/>
        <v>2700.839496960919</v>
      </c>
      <c r="K12" s="22"/>
      <c r="L12" s="16">
        <f t="shared" si="4"/>
        <v>120</v>
      </c>
      <c r="M12" s="22" t="s">
        <v>33</v>
      </c>
      <c r="N12" s="22">
        <f t="shared" si="5"/>
        <v>15.000000000000107</v>
      </c>
      <c r="O12" s="5">
        <f t="shared" si="6"/>
        <v>1800.0000000000127</v>
      </c>
      <c r="P12" s="22"/>
    </row>
    <row r="13" spans="1:16">
      <c r="A13" s="1">
        <v>43923</v>
      </c>
      <c r="B13" s="2">
        <v>0.70833333333333337</v>
      </c>
      <c r="C13" s="22">
        <v>0</v>
      </c>
      <c r="D13" s="22">
        <v>1.752</v>
      </c>
      <c r="E13" s="22">
        <v>16.129000000000001</v>
      </c>
      <c r="F13" s="3">
        <f t="shared" si="0"/>
        <v>0.58621920000000005</v>
      </c>
      <c r="G13" s="12">
        <f t="shared" si="1"/>
        <v>175.36966507477879</v>
      </c>
      <c r="H13" s="22" t="s">
        <v>33</v>
      </c>
      <c r="I13" s="22">
        <f t="shared" si="2"/>
        <v>14.999999999999947</v>
      </c>
      <c r="J13" s="5">
        <f t="shared" si="3"/>
        <v>2630.5449761216728</v>
      </c>
      <c r="K13" s="22"/>
      <c r="L13" s="16">
        <f t="shared" si="4"/>
        <v>120</v>
      </c>
      <c r="M13" s="22" t="s">
        <v>33</v>
      </c>
      <c r="N13" s="22">
        <f t="shared" si="5"/>
        <v>14.999999999999947</v>
      </c>
      <c r="O13" s="5">
        <f t="shared" si="6"/>
        <v>1799.9999999999936</v>
      </c>
      <c r="P13" s="22"/>
    </row>
    <row r="14" spans="1:16">
      <c r="A14" s="1">
        <v>43923</v>
      </c>
      <c r="B14" s="2">
        <v>0.71875</v>
      </c>
      <c r="C14" s="22">
        <v>0</v>
      </c>
      <c r="D14" s="22">
        <v>1.746</v>
      </c>
      <c r="E14" s="22">
        <v>15.991</v>
      </c>
      <c r="F14" s="3">
        <f t="shared" si="0"/>
        <v>0.58421160000000005</v>
      </c>
      <c r="G14" s="12">
        <f t="shared" si="1"/>
        <v>173.82435534060346</v>
      </c>
      <c r="H14" s="22" t="s">
        <v>33</v>
      </c>
      <c r="I14" s="22">
        <f t="shared" si="2"/>
        <v>14.999999999999947</v>
      </c>
      <c r="J14" s="5">
        <f t="shared" si="3"/>
        <v>2607.3653301090426</v>
      </c>
      <c r="K14" s="22"/>
      <c r="L14" s="16">
        <f t="shared" si="4"/>
        <v>120</v>
      </c>
      <c r="M14" s="22" t="s">
        <v>33</v>
      </c>
      <c r="N14" s="22">
        <f t="shared" si="5"/>
        <v>14.999999999999947</v>
      </c>
      <c r="O14" s="5">
        <f t="shared" si="6"/>
        <v>1799.9999999999936</v>
      </c>
      <c r="P14" s="22"/>
    </row>
    <row r="15" spans="1:16">
      <c r="A15" s="1">
        <v>43923</v>
      </c>
      <c r="B15" s="2">
        <v>0.72916666666666663</v>
      </c>
      <c r="C15" s="22">
        <v>0</v>
      </c>
      <c r="D15" s="22">
        <v>1.675</v>
      </c>
      <c r="E15" s="22">
        <v>15.874000000000001</v>
      </c>
      <c r="F15" s="3">
        <f t="shared" si="0"/>
        <v>0.56045500000000004</v>
      </c>
      <c r="G15" s="12">
        <f t="shared" si="1"/>
        <v>156.16895461514062</v>
      </c>
      <c r="H15" s="22" t="s">
        <v>33</v>
      </c>
      <c r="I15" s="22">
        <f t="shared" si="2"/>
        <v>15.000000000000107</v>
      </c>
      <c r="J15" s="5">
        <f t="shared" si="3"/>
        <v>2342.5343192271262</v>
      </c>
      <c r="K15" s="22"/>
      <c r="L15" s="16">
        <f t="shared" si="4"/>
        <v>120</v>
      </c>
      <c r="M15" s="22" t="s">
        <v>33</v>
      </c>
      <c r="N15" s="22">
        <f t="shared" si="5"/>
        <v>15.000000000000107</v>
      </c>
      <c r="O15" s="5">
        <f t="shared" si="6"/>
        <v>1800.0000000000127</v>
      </c>
      <c r="P15" s="22"/>
    </row>
    <row r="16" spans="1:16">
      <c r="A16" s="1">
        <v>43923</v>
      </c>
      <c r="B16" s="2">
        <v>0.73958333333333337</v>
      </c>
      <c r="C16" s="22">
        <v>0</v>
      </c>
      <c r="D16" s="22">
        <v>1.6739999999999999</v>
      </c>
      <c r="E16" s="22">
        <v>15.782999999999999</v>
      </c>
      <c r="F16" s="3">
        <f t="shared" si="0"/>
        <v>0.56012039999999996</v>
      </c>
      <c r="G16" s="12">
        <f t="shared" si="1"/>
        <v>155.92852124626626</v>
      </c>
      <c r="H16" s="22" t="s">
        <v>33</v>
      </c>
      <c r="I16" s="22">
        <f t="shared" si="2"/>
        <v>14.999999999999947</v>
      </c>
      <c r="J16" s="5">
        <f t="shared" si="3"/>
        <v>2338.9278186939855</v>
      </c>
      <c r="K16" s="22"/>
      <c r="L16" s="16">
        <f t="shared" si="4"/>
        <v>120</v>
      </c>
      <c r="M16" s="22" t="s">
        <v>33</v>
      </c>
      <c r="N16" s="22">
        <f t="shared" si="5"/>
        <v>14.999999999999947</v>
      </c>
      <c r="O16" s="5">
        <f t="shared" si="6"/>
        <v>1799.9999999999936</v>
      </c>
      <c r="P16" s="22"/>
    </row>
    <row r="17" spans="1:15">
      <c r="A17" s="1">
        <v>43923</v>
      </c>
      <c r="B17" s="2">
        <v>0.75</v>
      </c>
      <c r="C17" s="22">
        <v>0</v>
      </c>
      <c r="D17" s="22">
        <v>1.681</v>
      </c>
      <c r="E17" s="22">
        <v>15.701000000000001</v>
      </c>
      <c r="F17" s="3">
        <f t="shared" si="0"/>
        <v>0.56246260000000003</v>
      </c>
      <c r="G17" s="12">
        <f t="shared" si="1"/>
        <v>157.61632255820081</v>
      </c>
      <c r="H17" s="22" t="s">
        <v>33</v>
      </c>
      <c r="I17" s="22">
        <f t="shared" si="2"/>
        <v>14.999999999999947</v>
      </c>
      <c r="J17" s="5">
        <f t="shared" si="3"/>
        <v>2364.2448383730039</v>
      </c>
      <c r="K17" s="22"/>
      <c r="L17" s="16">
        <f t="shared" si="4"/>
        <v>120</v>
      </c>
      <c r="M17" s="22" t="s">
        <v>33</v>
      </c>
      <c r="N17" s="22">
        <f t="shared" si="5"/>
        <v>14.999999999999947</v>
      </c>
      <c r="O17" s="5">
        <f t="shared" si="6"/>
        <v>1799.9999999999936</v>
      </c>
    </row>
    <row r="18" spans="1:15">
      <c r="A18" s="1">
        <v>43923</v>
      </c>
      <c r="B18" s="2">
        <v>0.76041666666666663</v>
      </c>
      <c r="C18" s="22">
        <v>0</v>
      </c>
      <c r="D18" s="22">
        <v>1.69</v>
      </c>
      <c r="E18" s="22">
        <v>15.635999999999999</v>
      </c>
      <c r="F18" s="3">
        <f t="shared" si="0"/>
        <v>0.56547400000000003</v>
      </c>
      <c r="G18" s="12">
        <f t="shared" si="1"/>
        <v>159.80272756835058</v>
      </c>
      <c r="H18" s="22" t="s">
        <v>33</v>
      </c>
      <c r="I18" s="22">
        <f t="shared" si="2"/>
        <v>15.000000000000107</v>
      </c>
      <c r="J18" s="5">
        <f t="shared" si="3"/>
        <v>2397.0409135252758</v>
      </c>
      <c r="K18" s="22"/>
      <c r="L18" s="16">
        <f t="shared" si="4"/>
        <v>120</v>
      </c>
      <c r="M18" s="22" t="s">
        <v>33</v>
      </c>
      <c r="N18" s="22">
        <f t="shared" si="5"/>
        <v>15.000000000000107</v>
      </c>
      <c r="O18" s="5">
        <f t="shared" si="6"/>
        <v>1800.0000000000127</v>
      </c>
    </row>
    <row r="19" spans="1:15">
      <c r="A19" s="1">
        <v>43923</v>
      </c>
      <c r="B19" s="2">
        <v>0.77083333333333337</v>
      </c>
      <c r="C19" s="22">
        <v>0</v>
      </c>
      <c r="D19" s="22">
        <v>1.615</v>
      </c>
      <c r="E19" s="22">
        <v>15.57</v>
      </c>
      <c r="F19" s="3">
        <f t="shared" si="0"/>
        <v>0.54037900000000005</v>
      </c>
      <c r="G19" s="12">
        <f t="shared" si="1"/>
        <v>142.14173383344342</v>
      </c>
      <c r="H19" s="22" t="s">
        <v>33</v>
      </c>
      <c r="I19" s="22">
        <f t="shared" si="2"/>
        <v>14.999999999999947</v>
      </c>
      <c r="J19" s="5">
        <f t="shared" si="3"/>
        <v>2132.1260075016439</v>
      </c>
      <c r="K19" s="22"/>
      <c r="L19" s="16">
        <f t="shared" si="4"/>
        <v>120</v>
      </c>
      <c r="M19" s="22" t="s">
        <v>33</v>
      </c>
      <c r="N19" s="22">
        <f t="shared" si="5"/>
        <v>14.999999999999947</v>
      </c>
      <c r="O19" s="5">
        <f t="shared" si="6"/>
        <v>1799.9999999999936</v>
      </c>
    </row>
    <row r="20" spans="1:15">
      <c r="A20" s="1">
        <v>43923</v>
      </c>
      <c r="B20" s="2">
        <v>0.78125</v>
      </c>
      <c r="C20" s="22">
        <v>0</v>
      </c>
      <c r="D20" s="22">
        <v>1.6339999999999999</v>
      </c>
      <c r="E20" s="22">
        <v>15.499000000000001</v>
      </c>
      <c r="F20" s="3">
        <f t="shared" si="0"/>
        <v>0.54673640000000001</v>
      </c>
      <c r="G20" s="12">
        <f t="shared" si="1"/>
        <v>146.49634333600065</v>
      </c>
      <c r="H20" s="22" t="s">
        <v>33</v>
      </c>
      <c r="I20" s="22">
        <f t="shared" si="2"/>
        <v>14.999999999999947</v>
      </c>
      <c r="J20" s="5">
        <f t="shared" si="3"/>
        <v>2197.4451500400019</v>
      </c>
      <c r="K20" s="22"/>
      <c r="L20" s="16">
        <f t="shared" si="4"/>
        <v>120</v>
      </c>
      <c r="M20" s="22" t="s">
        <v>33</v>
      </c>
      <c r="N20" s="22">
        <f t="shared" si="5"/>
        <v>14.999999999999947</v>
      </c>
      <c r="O20" s="5">
        <f t="shared" si="6"/>
        <v>1799.9999999999936</v>
      </c>
    </row>
    <row r="21" spans="1:15">
      <c r="A21" s="1">
        <v>43923</v>
      </c>
      <c r="B21" s="2">
        <v>0.79166666666666663</v>
      </c>
      <c r="C21" s="22">
        <v>0</v>
      </c>
      <c r="D21" s="22">
        <v>1.657</v>
      </c>
      <c r="E21" s="22">
        <v>15.430999999999999</v>
      </c>
      <c r="F21" s="3">
        <f t="shared" si="0"/>
        <v>0.55443220000000004</v>
      </c>
      <c r="G21" s="12">
        <f t="shared" si="1"/>
        <v>151.87579404467792</v>
      </c>
      <c r="H21" s="22" t="s">
        <v>33</v>
      </c>
      <c r="I21" s="22">
        <f t="shared" si="2"/>
        <v>15.000000000000107</v>
      </c>
      <c r="J21" s="5">
        <f t="shared" si="3"/>
        <v>2278.136910670185</v>
      </c>
      <c r="K21" s="22"/>
      <c r="L21" s="16">
        <f t="shared" si="4"/>
        <v>120</v>
      </c>
      <c r="M21" s="22" t="s">
        <v>33</v>
      </c>
      <c r="N21" s="22">
        <f t="shared" si="5"/>
        <v>15.000000000000107</v>
      </c>
      <c r="O21" s="5">
        <f t="shared" si="6"/>
        <v>1800.0000000000127</v>
      </c>
    </row>
    <row r="22" spans="1:15">
      <c r="A22" s="1">
        <v>43923</v>
      </c>
      <c r="B22" s="2">
        <v>0.80208333333333337</v>
      </c>
      <c r="C22" s="22">
        <v>0</v>
      </c>
      <c r="D22" s="22">
        <v>1.6719999999999999</v>
      </c>
      <c r="E22" s="22">
        <v>15.356</v>
      </c>
      <c r="F22" s="3">
        <f t="shared" si="0"/>
        <v>0.55945120000000004</v>
      </c>
      <c r="G22" s="12">
        <f t="shared" si="1"/>
        <v>155.44833490573825</v>
      </c>
      <c r="H22" s="22" t="s">
        <v>33</v>
      </c>
      <c r="I22" s="22">
        <f t="shared" si="2"/>
        <v>14.999999999999947</v>
      </c>
      <c r="J22" s="5">
        <f t="shared" si="3"/>
        <v>2331.7250235860656</v>
      </c>
      <c r="K22" s="22"/>
      <c r="L22" s="16">
        <f t="shared" si="4"/>
        <v>120</v>
      </c>
      <c r="M22" s="22" t="s">
        <v>33</v>
      </c>
      <c r="N22" s="22">
        <f t="shared" si="5"/>
        <v>14.999999999999947</v>
      </c>
      <c r="O22" s="5">
        <f t="shared" si="6"/>
        <v>1799.9999999999936</v>
      </c>
    </row>
    <row r="23" spans="1:15">
      <c r="A23" s="1">
        <v>43923</v>
      </c>
      <c r="B23" s="2">
        <v>0.8125</v>
      </c>
      <c r="C23" s="22">
        <v>0</v>
      </c>
      <c r="D23" s="22">
        <v>1.5629999999999999</v>
      </c>
      <c r="E23" s="22">
        <v>15.279</v>
      </c>
      <c r="F23" s="3">
        <f t="shared" si="0"/>
        <v>0.52297979999999999</v>
      </c>
      <c r="G23" s="12">
        <f t="shared" si="1"/>
        <v>130.63232397896067</v>
      </c>
      <c r="H23" s="22" t="s">
        <v>33</v>
      </c>
      <c r="I23" s="22">
        <f t="shared" si="2"/>
        <v>14.999999999999947</v>
      </c>
      <c r="J23" s="5">
        <f t="shared" si="3"/>
        <v>1959.4848596844031</v>
      </c>
      <c r="K23" s="22"/>
      <c r="L23" s="16">
        <f t="shared" si="4"/>
        <v>120</v>
      </c>
      <c r="M23" s="22" t="s">
        <v>33</v>
      </c>
      <c r="N23" s="22">
        <f t="shared" si="5"/>
        <v>14.999999999999947</v>
      </c>
      <c r="O23" s="5">
        <f t="shared" si="6"/>
        <v>1799.9999999999936</v>
      </c>
    </row>
    <row r="24" spans="1:15">
      <c r="A24" s="1">
        <v>43923</v>
      </c>
      <c r="B24" s="2">
        <v>0.82291666666666663</v>
      </c>
      <c r="C24" s="22">
        <v>0</v>
      </c>
      <c r="D24" s="22">
        <v>1.5660000000000001</v>
      </c>
      <c r="E24" s="22">
        <v>15.185</v>
      </c>
      <c r="F24" s="3">
        <f t="shared" si="0"/>
        <v>0.52398359999999999</v>
      </c>
      <c r="G24" s="12">
        <f t="shared" si="1"/>
        <v>131.28019851092537</v>
      </c>
      <c r="H24" s="22" t="s">
        <v>33</v>
      </c>
      <c r="I24" s="22">
        <f t="shared" si="2"/>
        <v>15.000000000000107</v>
      </c>
      <c r="J24" s="5">
        <f t="shared" si="3"/>
        <v>1969.2029776638947</v>
      </c>
      <c r="K24" s="22"/>
      <c r="L24" s="16">
        <f t="shared" si="4"/>
        <v>120</v>
      </c>
      <c r="M24" s="22" t="s">
        <v>33</v>
      </c>
      <c r="N24" s="22">
        <f t="shared" si="5"/>
        <v>15.000000000000107</v>
      </c>
      <c r="O24" s="5">
        <f t="shared" si="6"/>
        <v>1800.0000000000127</v>
      </c>
    </row>
    <row r="25" spans="1:15">
      <c r="A25" s="1">
        <v>43923</v>
      </c>
      <c r="B25" s="2">
        <v>0.83333333333333337</v>
      </c>
      <c r="C25" s="22">
        <v>0</v>
      </c>
      <c r="D25" s="22">
        <v>1.571</v>
      </c>
      <c r="E25" s="22">
        <v>15.073</v>
      </c>
      <c r="F25" s="3">
        <f t="shared" si="0"/>
        <v>0.52565660000000003</v>
      </c>
      <c r="G25" s="12">
        <f t="shared" si="1"/>
        <v>132.36435485387852</v>
      </c>
      <c r="H25" s="22" t="s">
        <v>33</v>
      </c>
      <c r="I25" s="22">
        <f t="shared" si="2"/>
        <v>14.999999999999947</v>
      </c>
      <c r="J25" s="5">
        <f t="shared" si="3"/>
        <v>1985.4653228081709</v>
      </c>
      <c r="K25" s="22"/>
      <c r="L25" s="16">
        <f t="shared" si="4"/>
        <v>120</v>
      </c>
      <c r="M25" s="22" t="s">
        <v>33</v>
      </c>
      <c r="N25" s="22">
        <f t="shared" si="5"/>
        <v>14.999999999999947</v>
      </c>
      <c r="O25" s="5">
        <f t="shared" si="6"/>
        <v>1799.9999999999936</v>
      </c>
    </row>
    <row r="26" spans="1:15">
      <c r="A26" s="1">
        <v>43923</v>
      </c>
      <c r="B26" s="2">
        <v>0.84375</v>
      </c>
      <c r="C26" s="22">
        <v>0</v>
      </c>
      <c r="D26" s="22">
        <v>1.5860000000000001</v>
      </c>
      <c r="E26" s="22">
        <v>14.955</v>
      </c>
      <c r="F26" s="3">
        <f t="shared" si="0"/>
        <v>0.53067560000000003</v>
      </c>
      <c r="G26" s="12">
        <f t="shared" si="1"/>
        <v>135.64965761385722</v>
      </c>
      <c r="H26" s="22" t="s">
        <v>33</v>
      </c>
      <c r="I26" s="22">
        <f t="shared" si="2"/>
        <v>14.999999999999947</v>
      </c>
      <c r="J26" s="5">
        <f t="shared" si="3"/>
        <v>2034.7448642078509</v>
      </c>
      <c r="K26" s="22"/>
      <c r="L26" s="16">
        <f t="shared" si="4"/>
        <v>120</v>
      </c>
      <c r="M26" s="22" t="s">
        <v>33</v>
      </c>
      <c r="N26" s="22">
        <f t="shared" si="5"/>
        <v>14.999999999999947</v>
      </c>
      <c r="O26" s="5">
        <f t="shared" si="6"/>
        <v>1799.9999999999936</v>
      </c>
    </row>
    <row r="27" spans="1:15">
      <c r="A27" s="1">
        <v>43923</v>
      </c>
      <c r="B27" s="2">
        <v>0.85416666666666663</v>
      </c>
      <c r="C27" s="22">
        <v>0</v>
      </c>
      <c r="D27" s="22">
        <v>1.571</v>
      </c>
      <c r="E27" s="22">
        <v>14.829000000000001</v>
      </c>
      <c r="F27" s="3">
        <f t="shared" si="0"/>
        <v>0.52565660000000003</v>
      </c>
      <c r="G27" s="12">
        <f t="shared" si="1"/>
        <v>132.36435485387852</v>
      </c>
      <c r="H27" s="22" t="s">
        <v>33</v>
      </c>
      <c r="I27" s="22">
        <f t="shared" si="2"/>
        <v>15.000000000000107</v>
      </c>
      <c r="J27" s="5">
        <f t="shared" si="3"/>
        <v>1985.465322808192</v>
      </c>
      <c r="K27" s="22"/>
      <c r="L27" s="16">
        <f t="shared" si="4"/>
        <v>120</v>
      </c>
      <c r="M27" s="22" t="s">
        <v>33</v>
      </c>
      <c r="N27" s="22">
        <f t="shared" si="5"/>
        <v>15.000000000000107</v>
      </c>
      <c r="O27" s="5">
        <f t="shared" si="6"/>
        <v>1800.0000000000127</v>
      </c>
    </row>
    <row r="28" spans="1:15">
      <c r="A28" s="1">
        <v>43923</v>
      </c>
      <c r="B28" s="2">
        <v>0.86458333333333337</v>
      </c>
      <c r="C28" s="22">
        <v>0</v>
      </c>
      <c r="D28" s="22">
        <v>1.597</v>
      </c>
      <c r="E28" s="22">
        <v>14.696</v>
      </c>
      <c r="F28" s="3">
        <f t="shared" si="0"/>
        <v>0.53435620000000006</v>
      </c>
      <c r="G28" s="12">
        <f t="shared" si="1"/>
        <v>138.09030011074313</v>
      </c>
      <c r="H28" s="22" t="s">
        <v>33</v>
      </c>
      <c r="I28" s="22">
        <f t="shared" si="2"/>
        <v>14.999999999999947</v>
      </c>
      <c r="J28" s="5">
        <f t="shared" si="3"/>
        <v>2071.3545016611397</v>
      </c>
      <c r="K28" s="22"/>
      <c r="L28" s="16">
        <f t="shared" si="4"/>
        <v>120</v>
      </c>
      <c r="M28" s="22" t="s">
        <v>33</v>
      </c>
      <c r="N28" s="22">
        <f t="shared" si="5"/>
        <v>14.999999999999947</v>
      </c>
      <c r="O28" s="5">
        <f t="shared" si="6"/>
        <v>1799.9999999999936</v>
      </c>
    </row>
    <row r="29" spans="1:15">
      <c r="A29" s="1">
        <v>43923</v>
      </c>
      <c r="B29" s="2">
        <v>0.875</v>
      </c>
      <c r="C29" s="22">
        <v>0</v>
      </c>
      <c r="D29" s="22">
        <v>1.619</v>
      </c>
      <c r="E29" s="22">
        <v>14.566000000000001</v>
      </c>
      <c r="F29" s="3">
        <f t="shared" si="0"/>
        <v>0.54171740000000002</v>
      </c>
      <c r="G29" s="12">
        <f t="shared" si="1"/>
        <v>143.05181079422289</v>
      </c>
      <c r="H29" s="22" t="s">
        <v>33</v>
      </c>
      <c r="I29" s="22">
        <f t="shared" si="2"/>
        <v>14.999999999999947</v>
      </c>
      <c r="J29" s="5">
        <f t="shared" si="3"/>
        <v>2145.7771619133355</v>
      </c>
      <c r="K29" s="22"/>
      <c r="L29" s="16">
        <f t="shared" si="4"/>
        <v>120</v>
      </c>
      <c r="M29" s="22" t="s">
        <v>33</v>
      </c>
      <c r="N29" s="22">
        <f t="shared" si="5"/>
        <v>14.999999999999947</v>
      </c>
      <c r="O29" s="5">
        <f t="shared" si="6"/>
        <v>1799.9999999999936</v>
      </c>
    </row>
    <row r="30" spans="1:15">
      <c r="A30" s="1">
        <v>43923</v>
      </c>
      <c r="B30" s="2">
        <v>0.88541666666666663</v>
      </c>
      <c r="C30" s="22">
        <v>0</v>
      </c>
      <c r="D30" s="22">
        <v>1.6359999999999999</v>
      </c>
      <c r="E30" s="22">
        <v>14.448</v>
      </c>
      <c r="F30" s="3">
        <f t="shared" si="0"/>
        <v>0.54740559999999994</v>
      </c>
      <c r="G30" s="12">
        <f t="shared" si="1"/>
        <v>146.95941080491716</v>
      </c>
      <c r="H30" s="22" t="s">
        <v>33</v>
      </c>
      <c r="I30" s="22">
        <f t="shared" si="2"/>
        <v>15.000000000000107</v>
      </c>
      <c r="J30" s="5">
        <f t="shared" si="3"/>
        <v>2204.3911620737731</v>
      </c>
      <c r="K30" s="22"/>
      <c r="L30" s="16">
        <f t="shared" si="4"/>
        <v>120</v>
      </c>
      <c r="M30" s="22" t="s">
        <v>33</v>
      </c>
      <c r="N30" s="22">
        <f t="shared" si="5"/>
        <v>15.000000000000107</v>
      </c>
      <c r="O30" s="5">
        <f t="shared" si="6"/>
        <v>1800.0000000000127</v>
      </c>
    </row>
    <row r="31" spans="1:15">
      <c r="A31" s="1">
        <v>43923</v>
      </c>
      <c r="B31" s="2">
        <v>0.89583333333333337</v>
      </c>
      <c r="C31" s="22">
        <v>0</v>
      </c>
      <c r="D31" s="22">
        <v>1.5580000000000001</v>
      </c>
      <c r="E31" s="22">
        <v>14.342000000000001</v>
      </c>
      <c r="F31" s="3">
        <f t="shared" si="0"/>
        <v>0.52130680000000007</v>
      </c>
      <c r="G31" s="12">
        <f t="shared" si="1"/>
        <v>129.55689154131485</v>
      </c>
      <c r="H31" s="22" t="s">
        <v>33</v>
      </c>
      <c r="I31" s="22">
        <f t="shared" si="2"/>
        <v>14.999999999999947</v>
      </c>
      <c r="J31" s="5">
        <f t="shared" si="3"/>
        <v>1943.353373119716</v>
      </c>
      <c r="K31" s="22"/>
      <c r="L31" s="16">
        <f t="shared" si="4"/>
        <v>120</v>
      </c>
      <c r="M31" s="22" t="s">
        <v>33</v>
      </c>
      <c r="N31" s="22">
        <f t="shared" si="5"/>
        <v>14.999999999999947</v>
      </c>
      <c r="O31" s="5">
        <f t="shared" si="6"/>
        <v>1799.9999999999936</v>
      </c>
    </row>
    <row r="32" spans="1:15">
      <c r="A32" s="1">
        <v>43923</v>
      </c>
      <c r="B32" s="2">
        <v>0.90625</v>
      </c>
      <c r="C32" s="22">
        <v>0</v>
      </c>
      <c r="D32" s="22">
        <v>1.5720000000000001</v>
      </c>
      <c r="E32" s="22">
        <v>14.246</v>
      </c>
      <c r="F32" s="3">
        <f t="shared" si="0"/>
        <v>0.52599119999999999</v>
      </c>
      <c r="G32" s="12">
        <f t="shared" si="1"/>
        <v>132.58184166792788</v>
      </c>
      <c r="H32" s="22" t="s">
        <v>33</v>
      </c>
      <c r="I32" s="22">
        <f t="shared" si="2"/>
        <v>14.999999999999947</v>
      </c>
      <c r="J32" s="5">
        <f t="shared" si="3"/>
        <v>1988.7276250189111</v>
      </c>
      <c r="K32" s="22"/>
      <c r="L32" s="16">
        <f t="shared" si="4"/>
        <v>120</v>
      </c>
      <c r="M32" s="22" t="s">
        <v>33</v>
      </c>
      <c r="N32" s="22">
        <f t="shared" si="5"/>
        <v>14.999999999999947</v>
      </c>
      <c r="O32" s="5">
        <f t="shared" si="6"/>
        <v>1799.9999999999936</v>
      </c>
    </row>
    <row r="33" spans="1:15">
      <c r="A33" s="1">
        <v>43923</v>
      </c>
      <c r="B33" s="2">
        <v>0.91666666666666663</v>
      </c>
      <c r="C33" s="22">
        <v>0</v>
      </c>
      <c r="D33" s="22">
        <v>1.571</v>
      </c>
      <c r="E33" s="22">
        <v>14.151</v>
      </c>
      <c r="F33" s="3">
        <f t="shared" si="0"/>
        <v>0.52565660000000003</v>
      </c>
      <c r="G33" s="12">
        <f t="shared" si="1"/>
        <v>132.36435485387852</v>
      </c>
      <c r="H33" s="22" t="s">
        <v>33</v>
      </c>
      <c r="I33" s="22">
        <f t="shared" si="2"/>
        <v>15.000000000000107</v>
      </c>
      <c r="J33" s="5">
        <f t="shared" si="3"/>
        <v>1985.465322808192</v>
      </c>
      <c r="K33" s="22"/>
      <c r="L33" s="16">
        <f t="shared" si="4"/>
        <v>120</v>
      </c>
      <c r="M33" s="22" t="s">
        <v>33</v>
      </c>
      <c r="N33" s="22">
        <f t="shared" si="5"/>
        <v>15.000000000000107</v>
      </c>
      <c r="O33" s="5">
        <f t="shared" si="6"/>
        <v>1800.0000000000127</v>
      </c>
    </row>
    <row r="34" spans="1:15">
      <c r="A34" s="1">
        <v>43923</v>
      </c>
      <c r="B34" s="2">
        <v>0.92708333333333337</v>
      </c>
      <c r="C34" s="22">
        <v>0</v>
      </c>
      <c r="D34" s="22">
        <v>1.577</v>
      </c>
      <c r="E34" s="22">
        <v>14.058999999999999</v>
      </c>
      <c r="F34" s="3">
        <f t="shared" si="0"/>
        <v>0.52766420000000003</v>
      </c>
      <c r="G34" s="12">
        <f t="shared" si="1"/>
        <v>133.67255790413083</v>
      </c>
      <c r="H34" s="22" t="s">
        <v>33</v>
      </c>
      <c r="I34" s="22">
        <f t="shared" si="2"/>
        <v>14.999999999999947</v>
      </c>
      <c r="J34" s="5">
        <f t="shared" si="3"/>
        <v>2005.0883685619553</v>
      </c>
      <c r="K34" s="22"/>
      <c r="L34" s="16">
        <f t="shared" si="4"/>
        <v>120</v>
      </c>
      <c r="M34" s="22" t="s">
        <v>33</v>
      </c>
      <c r="N34" s="22">
        <f t="shared" si="5"/>
        <v>14.999999999999947</v>
      </c>
      <c r="O34" s="5">
        <f t="shared" si="6"/>
        <v>1799.9999999999936</v>
      </c>
    </row>
    <row r="35" spans="1:15">
      <c r="A35" s="1">
        <v>43923</v>
      </c>
      <c r="B35" s="2">
        <v>0.9375</v>
      </c>
      <c r="C35" s="22">
        <v>0</v>
      </c>
      <c r="D35" s="22">
        <v>1.524</v>
      </c>
      <c r="E35" s="22">
        <v>13.974</v>
      </c>
      <c r="F35" s="3">
        <f t="shared" si="0"/>
        <v>0.50993040000000001</v>
      </c>
      <c r="G35" s="12">
        <f t="shared" si="1"/>
        <v>122.38768067276418</v>
      </c>
      <c r="H35" s="22" t="s">
        <v>33</v>
      </c>
      <c r="I35" s="22">
        <f t="shared" si="2"/>
        <v>14.999999999999947</v>
      </c>
      <c r="J35" s="5">
        <f t="shared" si="3"/>
        <v>1835.815210091456</v>
      </c>
      <c r="K35" s="22"/>
      <c r="L35" s="16">
        <f t="shared" si="4"/>
        <v>120</v>
      </c>
      <c r="M35" s="22" t="s">
        <v>33</v>
      </c>
      <c r="N35" s="22">
        <f t="shared" si="5"/>
        <v>14.999999999999947</v>
      </c>
      <c r="O35" s="5">
        <f t="shared" si="6"/>
        <v>1799.9999999999936</v>
      </c>
    </row>
    <row r="36" spans="1:15">
      <c r="A36" s="1">
        <v>43923</v>
      </c>
      <c r="B36" s="2">
        <v>0.94791666666666663</v>
      </c>
      <c r="C36" s="22">
        <v>0</v>
      </c>
      <c r="D36" s="22">
        <v>1.556</v>
      </c>
      <c r="E36" s="22">
        <v>13.898</v>
      </c>
      <c r="F36" s="3">
        <f t="shared" si="0"/>
        <v>0.52063760000000003</v>
      </c>
      <c r="G36" s="12">
        <f t="shared" si="1"/>
        <v>129.12824213488787</v>
      </c>
      <c r="H36" s="22" t="s">
        <v>33</v>
      </c>
      <c r="I36" s="22">
        <f t="shared" si="2"/>
        <v>15.000000000000107</v>
      </c>
      <c r="J36" s="5">
        <f t="shared" si="3"/>
        <v>1936.9236320233317</v>
      </c>
      <c r="K36" s="22"/>
      <c r="L36" s="16">
        <f t="shared" si="4"/>
        <v>120</v>
      </c>
      <c r="M36" s="22" t="s">
        <v>33</v>
      </c>
      <c r="N36" s="22">
        <f t="shared" si="5"/>
        <v>15.000000000000107</v>
      </c>
      <c r="O36" s="5">
        <f t="shared" si="6"/>
        <v>1800.0000000000127</v>
      </c>
    </row>
    <row r="37" spans="1:15">
      <c r="A37" s="1">
        <v>43923</v>
      </c>
      <c r="B37" s="2">
        <v>0.95833333333333337</v>
      </c>
      <c r="C37" s="22">
        <v>0</v>
      </c>
      <c r="D37" s="22">
        <v>1.5760000000000001</v>
      </c>
      <c r="E37" s="22">
        <v>13.823</v>
      </c>
      <c r="F37" s="3">
        <f t="shared" si="0"/>
        <v>0.52732960000000006</v>
      </c>
      <c r="G37" s="12">
        <f t="shared" si="1"/>
        <v>133.45397676593257</v>
      </c>
      <c r="H37" s="22" t="s">
        <v>33</v>
      </c>
      <c r="I37" s="22">
        <f t="shared" si="2"/>
        <v>14.999999999999947</v>
      </c>
      <c r="J37" s="5">
        <f t="shared" si="3"/>
        <v>2001.8096514889814</v>
      </c>
      <c r="K37" s="22"/>
      <c r="L37" s="16">
        <f t="shared" si="4"/>
        <v>120</v>
      </c>
      <c r="M37" s="22" t="s">
        <v>33</v>
      </c>
      <c r="N37" s="22">
        <f t="shared" si="5"/>
        <v>14.999999999999947</v>
      </c>
      <c r="O37" s="5">
        <f t="shared" si="6"/>
        <v>1799.9999999999936</v>
      </c>
    </row>
    <row r="38" spans="1:15">
      <c r="A38" s="1">
        <v>43923</v>
      </c>
      <c r="B38" s="2">
        <v>0.96875</v>
      </c>
      <c r="C38" s="22">
        <v>0</v>
      </c>
      <c r="D38" s="22">
        <v>1.5589999999999999</v>
      </c>
      <c r="E38" s="22">
        <v>13.753</v>
      </c>
      <c r="F38" s="3">
        <f t="shared" si="0"/>
        <v>0.52164140000000003</v>
      </c>
      <c r="G38" s="12">
        <f t="shared" si="1"/>
        <v>129.77154256157263</v>
      </c>
      <c r="H38" s="22" t="s">
        <v>33</v>
      </c>
      <c r="I38" s="22">
        <f t="shared" si="2"/>
        <v>14.999999999999947</v>
      </c>
      <c r="J38" s="5">
        <f t="shared" si="3"/>
        <v>1946.5731384235826</v>
      </c>
      <c r="K38" s="22"/>
      <c r="L38" s="16">
        <f t="shared" si="4"/>
        <v>120</v>
      </c>
      <c r="M38" s="22" t="s">
        <v>33</v>
      </c>
      <c r="N38" s="22">
        <f t="shared" si="5"/>
        <v>14.999999999999947</v>
      </c>
      <c r="O38" s="5">
        <f t="shared" si="6"/>
        <v>1799.9999999999936</v>
      </c>
    </row>
    <row r="39" spans="1:15">
      <c r="A39" s="1">
        <v>43923</v>
      </c>
      <c r="B39" s="2">
        <v>0.97916666666666663</v>
      </c>
      <c r="C39" s="22">
        <v>0</v>
      </c>
      <c r="D39" s="22">
        <v>1.5369999999999999</v>
      </c>
      <c r="E39" s="22">
        <v>13.680999999999999</v>
      </c>
      <c r="F39" s="3">
        <f t="shared" si="0"/>
        <v>0.51428019999999997</v>
      </c>
      <c r="G39" s="12">
        <f t="shared" si="1"/>
        <v>125.09935426737199</v>
      </c>
      <c r="H39" s="22" t="s">
        <v>33</v>
      </c>
      <c r="I39" s="22">
        <f t="shared" si="2"/>
        <v>15.000000000000107</v>
      </c>
      <c r="J39" s="5">
        <f t="shared" si="3"/>
        <v>1876.4903140105932</v>
      </c>
      <c r="K39" s="22"/>
      <c r="L39" s="16">
        <f t="shared" si="4"/>
        <v>120</v>
      </c>
      <c r="M39" s="22" t="s">
        <v>33</v>
      </c>
      <c r="N39" s="22">
        <f t="shared" si="5"/>
        <v>15.000000000000107</v>
      </c>
      <c r="O39" s="5">
        <f t="shared" si="6"/>
        <v>1800.0000000000127</v>
      </c>
    </row>
    <row r="40" spans="1:15">
      <c r="A40" s="1">
        <v>43923</v>
      </c>
      <c r="B40" s="2">
        <v>0.98958333333333337</v>
      </c>
      <c r="C40" s="22">
        <v>0</v>
      </c>
      <c r="D40" s="22">
        <v>1.516</v>
      </c>
      <c r="E40" s="22">
        <v>13.609</v>
      </c>
      <c r="F40" s="3">
        <f t="shared" si="0"/>
        <v>0.50725359999999997</v>
      </c>
      <c r="G40" s="12">
        <f t="shared" si="1"/>
        <v>120.7370135127545</v>
      </c>
      <c r="H40" s="22" t="s">
        <v>33</v>
      </c>
      <c r="I40" s="22">
        <v>15</v>
      </c>
      <c r="J40" s="5">
        <f t="shared" si="3"/>
        <v>1811.0552026913176</v>
      </c>
      <c r="K40" s="22"/>
      <c r="L40" s="16">
        <f t="shared" si="4"/>
        <v>120</v>
      </c>
      <c r="M40" s="22" t="s">
        <v>33</v>
      </c>
      <c r="N40" s="22">
        <v>15</v>
      </c>
      <c r="O40" s="5">
        <f t="shared" si="6"/>
        <v>1800</v>
      </c>
    </row>
    <row r="41" spans="1:15">
      <c r="A41" s="1">
        <v>43924</v>
      </c>
      <c r="B41" s="2">
        <v>0</v>
      </c>
      <c r="C41" s="22">
        <v>0</v>
      </c>
      <c r="D41" s="22">
        <v>1.4930000000000001</v>
      </c>
      <c r="E41" s="22">
        <v>13.545999999999999</v>
      </c>
      <c r="F41" s="3">
        <f t="shared" si="0"/>
        <v>0.49955780000000005</v>
      </c>
      <c r="G41" s="12">
        <f t="shared" si="1"/>
        <v>116.06754371422062</v>
      </c>
      <c r="H41" s="22" t="s">
        <v>33</v>
      </c>
      <c r="I41" s="22">
        <f t="shared" si="2"/>
        <v>15</v>
      </c>
      <c r="J41" s="5">
        <f t="shared" si="3"/>
        <v>1741.0131557133093</v>
      </c>
      <c r="K41" s="22"/>
      <c r="L41" s="16">
        <f t="shared" si="4"/>
        <v>116.06754371422062</v>
      </c>
      <c r="M41" s="22" t="s">
        <v>33</v>
      </c>
      <c r="N41" s="22">
        <f t="shared" si="5"/>
        <v>15</v>
      </c>
      <c r="O41" s="5">
        <f t="shared" si="6"/>
        <v>1741.0131557133093</v>
      </c>
    </row>
    <row r="42" spans="1:15">
      <c r="A42" s="1">
        <v>43924</v>
      </c>
      <c r="B42" s="2">
        <v>1.0416666666666666E-2</v>
      </c>
      <c r="C42" s="22">
        <v>0</v>
      </c>
      <c r="D42" s="22">
        <v>1.4790000000000001</v>
      </c>
      <c r="E42" s="22">
        <v>13.500999999999999</v>
      </c>
      <c r="F42" s="3">
        <f t="shared" si="0"/>
        <v>0.49487340000000002</v>
      </c>
      <c r="G42" s="12">
        <f t="shared" si="1"/>
        <v>113.28029693522458</v>
      </c>
      <c r="H42" s="22" t="s">
        <v>33</v>
      </c>
      <c r="I42" s="22">
        <f t="shared" si="2"/>
        <v>15</v>
      </c>
      <c r="J42" s="5">
        <f t="shared" si="3"/>
        <v>1699.2044540283687</v>
      </c>
      <c r="K42" s="22"/>
      <c r="L42" s="16">
        <f t="shared" si="4"/>
        <v>113.28029693522458</v>
      </c>
      <c r="M42" s="22" t="s">
        <v>33</v>
      </c>
      <c r="N42" s="22">
        <f t="shared" si="5"/>
        <v>15</v>
      </c>
      <c r="O42" s="5">
        <f t="shared" si="6"/>
        <v>1699.2044540283687</v>
      </c>
    </row>
    <row r="43" spans="1:15">
      <c r="A43" s="1">
        <v>43924</v>
      </c>
      <c r="B43" s="2">
        <v>2.0833333333333332E-2</v>
      </c>
      <c r="C43" s="22">
        <v>0</v>
      </c>
      <c r="D43" s="22">
        <v>1.514</v>
      </c>
      <c r="E43" s="22">
        <v>13.465999999999999</v>
      </c>
      <c r="F43" s="3">
        <f t="shared" si="0"/>
        <v>0.50658440000000005</v>
      </c>
      <c r="G43" s="12">
        <f t="shared" si="1"/>
        <v>120.32648986404025</v>
      </c>
      <c r="H43" s="22" t="s">
        <v>33</v>
      </c>
      <c r="I43" s="22">
        <f t="shared" si="2"/>
        <v>15.000000000000002</v>
      </c>
      <c r="J43" s="5">
        <f t="shared" si="3"/>
        <v>1804.8973479606041</v>
      </c>
      <c r="K43" s="22"/>
      <c r="L43" s="16">
        <f t="shared" si="4"/>
        <v>120</v>
      </c>
      <c r="M43" s="22" t="s">
        <v>33</v>
      </c>
      <c r="N43" s="22">
        <f t="shared" si="5"/>
        <v>15.000000000000002</v>
      </c>
      <c r="O43" s="5">
        <f t="shared" si="6"/>
        <v>1800.0000000000002</v>
      </c>
    </row>
    <row r="44" spans="1:15">
      <c r="A44" s="1">
        <v>43924</v>
      </c>
      <c r="B44" s="2">
        <v>3.125E-2</v>
      </c>
      <c r="C44" s="22">
        <v>0</v>
      </c>
      <c r="D44" s="22">
        <v>1.5029999999999999</v>
      </c>
      <c r="E44" s="22">
        <v>13.430999999999999</v>
      </c>
      <c r="F44" s="3">
        <f t="shared" si="0"/>
        <v>0.50290380000000001</v>
      </c>
      <c r="G44" s="12">
        <f t="shared" si="1"/>
        <v>118.08389222995946</v>
      </c>
      <c r="H44" s="22" t="s">
        <v>33</v>
      </c>
      <c r="I44" s="22">
        <f t="shared" si="2"/>
        <v>14.999999999999996</v>
      </c>
      <c r="J44" s="5">
        <f t="shared" si="3"/>
        <v>1771.2583834493914</v>
      </c>
      <c r="K44" s="22"/>
      <c r="L44" s="16">
        <f t="shared" si="4"/>
        <v>118.08389222995946</v>
      </c>
      <c r="M44" s="22" t="s">
        <v>33</v>
      </c>
      <c r="N44" s="22">
        <f t="shared" si="5"/>
        <v>14.999999999999996</v>
      </c>
      <c r="O44" s="5">
        <f t="shared" si="6"/>
        <v>1771.2583834493914</v>
      </c>
    </row>
    <row r="45" spans="1:15">
      <c r="A45" s="1">
        <v>43924</v>
      </c>
      <c r="B45" s="2">
        <v>4.1666666666666664E-2</v>
      </c>
      <c r="C45" s="22">
        <v>0</v>
      </c>
      <c r="D45" s="22">
        <v>1.49</v>
      </c>
      <c r="E45" s="22">
        <v>13.391</v>
      </c>
      <c r="F45" s="3">
        <f t="shared" si="0"/>
        <v>0.498554</v>
      </c>
      <c r="G45" s="12">
        <f t="shared" si="1"/>
        <v>115.46678197659638</v>
      </c>
      <c r="H45" s="22" t="s">
        <v>33</v>
      </c>
      <c r="I45" s="22">
        <f t="shared" si="2"/>
        <v>15.000000000000007</v>
      </c>
      <c r="J45" s="5">
        <f t="shared" si="3"/>
        <v>1732.0017296489466</v>
      </c>
      <c r="K45" s="22"/>
      <c r="L45" s="16">
        <f t="shared" si="4"/>
        <v>115.46678197659638</v>
      </c>
      <c r="M45" s="22" t="s">
        <v>33</v>
      </c>
      <c r="N45" s="22">
        <f t="shared" si="5"/>
        <v>15.000000000000007</v>
      </c>
      <c r="O45" s="5">
        <f t="shared" si="6"/>
        <v>1732.0017296489466</v>
      </c>
    </row>
    <row r="46" spans="1:15">
      <c r="A46" s="1">
        <v>43924</v>
      </c>
      <c r="B46" s="2">
        <v>5.2083333333333336E-2</v>
      </c>
      <c r="C46" s="22">
        <v>0</v>
      </c>
      <c r="D46" s="22">
        <v>1.4810000000000001</v>
      </c>
      <c r="E46" s="22">
        <v>13.343</v>
      </c>
      <c r="F46" s="3">
        <f t="shared" si="0"/>
        <v>0.49554260000000006</v>
      </c>
      <c r="G46" s="12">
        <f t="shared" si="1"/>
        <v>113.67593651513772</v>
      </c>
      <c r="H46" s="22" t="s">
        <v>33</v>
      </c>
      <c r="I46" s="22">
        <f t="shared" si="2"/>
        <v>14.999999999999996</v>
      </c>
      <c r="J46" s="5">
        <f t="shared" si="3"/>
        <v>1705.1390477270654</v>
      </c>
      <c r="K46" s="22"/>
      <c r="L46" s="16">
        <f t="shared" si="4"/>
        <v>113.67593651513772</v>
      </c>
      <c r="M46" s="22" t="s">
        <v>33</v>
      </c>
      <c r="N46" s="22">
        <f t="shared" si="5"/>
        <v>14.999999999999996</v>
      </c>
      <c r="O46" s="5">
        <f t="shared" si="6"/>
        <v>1705.1390477270654</v>
      </c>
    </row>
    <row r="47" spans="1:15">
      <c r="A47" s="1">
        <v>43924</v>
      </c>
      <c r="B47" s="2">
        <v>6.25E-2</v>
      </c>
      <c r="C47" s="22">
        <v>0</v>
      </c>
      <c r="D47" s="22">
        <v>1.48</v>
      </c>
      <c r="E47" s="22">
        <v>13.294</v>
      </c>
      <c r="F47" s="3">
        <f t="shared" si="0"/>
        <v>0.49520799999999998</v>
      </c>
      <c r="G47" s="12">
        <f t="shared" si="1"/>
        <v>113.47801113219346</v>
      </c>
      <c r="H47" s="22" t="s">
        <v>33</v>
      </c>
      <c r="I47" s="22">
        <f t="shared" si="2"/>
        <v>15.000000000000007</v>
      </c>
      <c r="J47" s="5">
        <f t="shared" si="3"/>
        <v>1702.1701669829026</v>
      </c>
      <c r="K47" s="22"/>
      <c r="L47" s="16">
        <f t="shared" si="4"/>
        <v>113.47801113219346</v>
      </c>
      <c r="M47" s="22" t="s">
        <v>33</v>
      </c>
      <c r="N47" s="22">
        <f t="shared" si="5"/>
        <v>15.000000000000007</v>
      </c>
      <c r="O47" s="5">
        <f t="shared" si="6"/>
        <v>1702.1701669829026</v>
      </c>
    </row>
    <row r="48" spans="1:15">
      <c r="A48" s="1">
        <v>43924</v>
      </c>
      <c r="B48" s="2">
        <v>7.2916666666666671E-2</v>
      </c>
      <c r="C48" s="22">
        <v>0</v>
      </c>
      <c r="D48" s="22">
        <v>1.4550000000000001</v>
      </c>
      <c r="E48" s="22">
        <v>13.241</v>
      </c>
      <c r="F48" s="3">
        <f t="shared" si="0"/>
        <v>0.48684300000000003</v>
      </c>
      <c r="G48" s="12">
        <f t="shared" si="1"/>
        <v>108.59829643566988</v>
      </c>
      <c r="H48" s="22" t="s">
        <v>33</v>
      </c>
      <c r="I48" s="22">
        <f t="shared" si="2"/>
        <v>14.999999999999988</v>
      </c>
      <c r="J48" s="5">
        <f t="shared" si="3"/>
        <v>1628.9744465350468</v>
      </c>
      <c r="K48" s="22"/>
      <c r="L48" s="16">
        <f t="shared" si="4"/>
        <v>108.59829643566988</v>
      </c>
      <c r="M48" s="22" t="s">
        <v>33</v>
      </c>
      <c r="N48" s="22">
        <f t="shared" si="5"/>
        <v>14.999999999999988</v>
      </c>
      <c r="O48" s="5">
        <f t="shared" si="6"/>
        <v>1628.9744465350468</v>
      </c>
    </row>
    <row r="49" spans="1:15">
      <c r="A49" s="1">
        <v>43924</v>
      </c>
      <c r="B49" s="2">
        <v>8.3333333333333329E-2</v>
      </c>
      <c r="C49" s="22">
        <v>0</v>
      </c>
      <c r="D49" s="22">
        <v>1.512</v>
      </c>
      <c r="E49" s="22">
        <v>13.186999999999999</v>
      </c>
      <c r="F49" s="3">
        <f t="shared" si="0"/>
        <v>0.50591520000000001</v>
      </c>
      <c r="G49" s="12">
        <f t="shared" si="1"/>
        <v>119.91682216112795</v>
      </c>
      <c r="H49" s="22" t="s">
        <v>33</v>
      </c>
      <c r="I49" s="22">
        <f t="shared" si="2"/>
        <v>15.000000000000007</v>
      </c>
      <c r="J49" s="5">
        <f t="shared" si="3"/>
        <v>1798.7523324169201</v>
      </c>
      <c r="K49" s="22"/>
      <c r="L49" s="16">
        <f t="shared" si="4"/>
        <v>119.91682216112795</v>
      </c>
      <c r="M49" s="22" t="s">
        <v>33</v>
      </c>
      <c r="N49" s="22">
        <f t="shared" si="5"/>
        <v>15.000000000000007</v>
      </c>
      <c r="O49" s="5">
        <f t="shared" si="6"/>
        <v>1798.7523324169201</v>
      </c>
    </row>
    <row r="50" spans="1:15">
      <c r="A50" s="1">
        <v>43924</v>
      </c>
      <c r="B50" s="2">
        <v>9.375E-2</v>
      </c>
      <c r="C50" s="22">
        <v>0</v>
      </c>
      <c r="D50" s="22">
        <v>1.4930000000000001</v>
      </c>
      <c r="E50" s="22">
        <v>13.135999999999999</v>
      </c>
      <c r="F50" s="3">
        <f t="shared" si="0"/>
        <v>0.49955780000000005</v>
      </c>
      <c r="G50" s="12">
        <f t="shared" si="1"/>
        <v>116.06754371422062</v>
      </c>
      <c r="H50" s="22" t="s">
        <v>33</v>
      </c>
      <c r="I50" s="22">
        <f t="shared" si="2"/>
        <v>15.000000000000007</v>
      </c>
      <c r="J50" s="5">
        <f t="shared" si="3"/>
        <v>1741.0131557133102</v>
      </c>
      <c r="K50" s="22"/>
      <c r="L50" s="16">
        <f t="shared" si="4"/>
        <v>116.06754371422062</v>
      </c>
      <c r="M50" s="22" t="s">
        <v>33</v>
      </c>
      <c r="N50" s="22">
        <f t="shared" si="5"/>
        <v>15.000000000000007</v>
      </c>
      <c r="O50" s="5">
        <f t="shared" si="6"/>
        <v>1741.0131557133102</v>
      </c>
    </row>
    <row r="51" spans="1:15">
      <c r="A51" s="1">
        <v>43924</v>
      </c>
      <c r="B51" s="2">
        <v>0.10416666666666667</v>
      </c>
      <c r="C51" s="22">
        <v>0</v>
      </c>
      <c r="D51" s="22">
        <v>1.5469999999999999</v>
      </c>
      <c r="E51" s="22">
        <v>13.086</v>
      </c>
      <c r="F51" s="3">
        <f t="shared" si="0"/>
        <v>0.51762620000000004</v>
      </c>
      <c r="G51" s="12">
        <f t="shared" si="1"/>
        <v>127.21007221824662</v>
      </c>
      <c r="H51" s="22" t="s">
        <v>33</v>
      </c>
      <c r="I51" s="22">
        <f t="shared" si="2"/>
        <v>14.999999999999988</v>
      </c>
      <c r="J51" s="5">
        <f t="shared" si="3"/>
        <v>1908.1510832736979</v>
      </c>
      <c r="K51" s="22"/>
      <c r="L51" s="16">
        <f t="shared" si="4"/>
        <v>120</v>
      </c>
      <c r="M51" s="22" t="s">
        <v>33</v>
      </c>
      <c r="N51" s="22">
        <f t="shared" si="5"/>
        <v>14.999999999999988</v>
      </c>
      <c r="O51" s="5">
        <f t="shared" si="6"/>
        <v>1799.9999999999984</v>
      </c>
    </row>
    <row r="52" spans="1:15">
      <c r="A52" s="1">
        <v>43924</v>
      </c>
      <c r="B52" s="2">
        <v>0.11458333333333333</v>
      </c>
      <c r="C52" s="22">
        <v>0</v>
      </c>
      <c r="D52" s="22">
        <v>1.5580000000000001</v>
      </c>
      <c r="E52" s="22">
        <v>13.029</v>
      </c>
      <c r="F52" s="3">
        <f t="shared" si="0"/>
        <v>0.52130680000000007</v>
      </c>
      <c r="G52" s="12">
        <f t="shared" si="1"/>
        <v>129.55689154131485</v>
      </c>
      <c r="H52" s="22" t="s">
        <v>33</v>
      </c>
      <c r="I52" s="22">
        <f t="shared" si="2"/>
        <v>15.000000000000007</v>
      </c>
      <c r="J52" s="5">
        <f t="shared" si="3"/>
        <v>1943.3533731197238</v>
      </c>
      <c r="K52" s="22"/>
      <c r="L52" s="16">
        <f t="shared" si="4"/>
        <v>120</v>
      </c>
      <c r="M52" s="22" t="s">
        <v>33</v>
      </c>
      <c r="N52" s="22">
        <f t="shared" si="5"/>
        <v>15.000000000000007</v>
      </c>
      <c r="O52" s="5">
        <f t="shared" si="6"/>
        <v>1800.0000000000009</v>
      </c>
    </row>
    <row r="53" spans="1:15">
      <c r="A53" s="1">
        <v>43924</v>
      </c>
      <c r="B53" s="2">
        <v>0.125</v>
      </c>
      <c r="C53" s="22">
        <v>0</v>
      </c>
      <c r="D53" s="22">
        <v>1.5580000000000001</v>
      </c>
      <c r="E53" s="22">
        <v>12.97</v>
      </c>
      <c r="F53" s="3">
        <f t="shared" si="0"/>
        <v>0.52130680000000007</v>
      </c>
      <c r="G53" s="12">
        <f t="shared" si="1"/>
        <v>129.55689154131485</v>
      </c>
      <c r="H53" s="22" t="s">
        <v>33</v>
      </c>
      <c r="I53" s="22">
        <f t="shared" si="2"/>
        <v>14.999999999999988</v>
      </c>
      <c r="J53" s="5">
        <f t="shared" si="3"/>
        <v>1943.3533731197213</v>
      </c>
      <c r="K53" s="22"/>
      <c r="L53" s="16">
        <f t="shared" si="4"/>
        <v>120</v>
      </c>
      <c r="M53" s="22" t="s">
        <v>33</v>
      </c>
      <c r="N53" s="22">
        <f t="shared" si="5"/>
        <v>14.999999999999988</v>
      </c>
      <c r="O53" s="5">
        <f t="shared" si="6"/>
        <v>1799.9999999999984</v>
      </c>
    </row>
    <row r="54" spans="1:15">
      <c r="A54" s="1">
        <v>43924</v>
      </c>
      <c r="B54" s="2">
        <v>0.13541666666666666</v>
      </c>
      <c r="C54" s="22">
        <v>0</v>
      </c>
      <c r="D54" s="22">
        <v>1.583</v>
      </c>
      <c r="E54" s="22">
        <v>12.903</v>
      </c>
      <c r="F54" s="3">
        <f t="shared" si="0"/>
        <v>0.52967180000000003</v>
      </c>
      <c r="G54" s="12">
        <f t="shared" si="1"/>
        <v>134.98864879339138</v>
      </c>
      <c r="H54" s="22" t="s">
        <v>33</v>
      </c>
      <c r="I54" s="22">
        <f t="shared" si="2"/>
        <v>15.000000000000027</v>
      </c>
      <c r="J54" s="5">
        <f t="shared" si="3"/>
        <v>2024.8297319008743</v>
      </c>
      <c r="K54" s="22"/>
      <c r="L54" s="16">
        <f t="shared" si="4"/>
        <v>120</v>
      </c>
      <c r="M54" s="22" t="s">
        <v>33</v>
      </c>
      <c r="N54" s="22">
        <f t="shared" si="5"/>
        <v>15.000000000000027</v>
      </c>
      <c r="O54" s="5">
        <f t="shared" si="6"/>
        <v>1800.0000000000032</v>
      </c>
    </row>
    <row r="55" spans="1:15">
      <c r="A55" s="1">
        <v>43924</v>
      </c>
      <c r="B55" s="2">
        <v>0.14583333333333334</v>
      </c>
      <c r="C55" s="22">
        <v>0</v>
      </c>
      <c r="D55" s="22">
        <v>1.536</v>
      </c>
      <c r="E55" s="22">
        <v>12.83</v>
      </c>
      <c r="F55" s="3">
        <f t="shared" si="0"/>
        <v>0.5139456</v>
      </c>
      <c r="G55" s="12">
        <f t="shared" si="1"/>
        <v>124.8894710781056</v>
      </c>
      <c r="H55" s="22" t="s">
        <v>33</v>
      </c>
      <c r="I55" s="22">
        <f t="shared" si="2"/>
        <v>14.999999999999988</v>
      </c>
      <c r="J55" s="5">
        <f t="shared" si="3"/>
        <v>1873.3420661715825</v>
      </c>
      <c r="K55" s="22"/>
      <c r="L55" s="16">
        <f t="shared" si="4"/>
        <v>120</v>
      </c>
      <c r="M55" s="22" t="s">
        <v>33</v>
      </c>
      <c r="N55" s="22">
        <f t="shared" si="5"/>
        <v>14.999999999999988</v>
      </c>
      <c r="O55" s="5">
        <f t="shared" si="6"/>
        <v>1799.9999999999984</v>
      </c>
    </row>
    <row r="56" spans="1:15">
      <c r="A56" s="1">
        <v>43924</v>
      </c>
      <c r="B56" s="2">
        <v>0.15625</v>
      </c>
      <c r="C56" s="22">
        <v>0</v>
      </c>
      <c r="D56" s="22">
        <v>1.5389999999999999</v>
      </c>
      <c r="E56" s="22">
        <v>12.760999999999999</v>
      </c>
      <c r="F56" s="3">
        <f t="shared" si="0"/>
        <v>0.5149494</v>
      </c>
      <c r="G56" s="12">
        <f t="shared" si="1"/>
        <v>125.51976832517067</v>
      </c>
      <c r="H56" s="22" t="s">
        <v>33</v>
      </c>
      <c r="I56" s="22">
        <f t="shared" si="2"/>
        <v>14.999999999999988</v>
      </c>
      <c r="J56" s="5">
        <f t="shared" si="3"/>
        <v>1882.7965248775586</v>
      </c>
      <c r="K56" s="22"/>
      <c r="L56" s="16">
        <f t="shared" si="4"/>
        <v>120</v>
      </c>
      <c r="M56" s="22" t="s">
        <v>33</v>
      </c>
      <c r="N56" s="22">
        <f t="shared" si="5"/>
        <v>14.999999999999988</v>
      </c>
      <c r="O56" s="5">
        <f t="shared" si="6"/>
        <v>1799.9999999999984</v>
      </c>
    </row>
    <row r="57" spans="1:15">
      <c r="A57" s="1">
        <v>43924</v>
      </c>
      <c r="B57" s="2">
        <v>0.16666666666666666</v>
      </c>
      <c r="C57" s="22">
        <v>0</v>
      </c>
      <c r="D57" s="22">
        <v>1.546</v>
      </c>
      <c r="E57" s="22">
        <v>12.7</v>
      </c>
      <c r="F57" s="3">
        <f t="shared" si="0"/>
        <v>0.51729160000000007</v>
      </c>
      <c r="G57" s="12">
        <f t="shared" si="1"/>
        <v>126.99802670710334</v>
      </c>
      <c r="H57" s="22" t="s">
        <v>33</v>
      </c>
      <c r="I57" s="22">
        <f t="shared" si="2"/>
        <v>15.000000000000027</v>
      </c>
      <c r="J57" s="5">
        <f t="shared" si="3"/>
        <v>1904.9704006065533</v>
      </c>
      <c r="K57" s="22"/>
      <c r="L57" s="16">
        <f t="shared" si="4"/>
        <v>120</v>
      </c>
      <c r="M57" s="22" t="s">
        <v>33</v>
      </c>
      <c r="N57" s="22">
        <f t="shared" si="5"/>
        <v>15.000000000000027</v>
      </c>
      <c r="O57" s="5">
        <f t="shared" si="6"/>
        <v>1800.0000000000032</v>
      </c>
    </row>
    <row r="58" spans="1:15">
      <c r="A58" s="1">
        <v>43924</v>
      </c>
      <c r="B58" s="2">
        <v>0.17708333333333334</v>
      </c>
      <c r="C58" s="22">
        <v>0</v>
      </c>
      <c r="D58" s="22">
        <v>1.546</v>
      </c>
      <c r="E58" s="22">
        <v>12.645</v>
      </c>
      <c r="F58" s="3">
        <f t="shared" si="0"/>
        <v>0.51729160000000007</v>
      </c>
      <c r="G58" s="12">
        <f t="shared" si="1"/>
        <v>126.99802670710334</v>
      </c>
      <c r="H58" s="22" t="s">
        <v>33</v>
      </c>
      <c r="I58" s="22">
        <f t="shared" si="2"/>
        <v>14.999999999999988</v>
      </c>
      <c r="J58" s="5">
        <f t="shared" si="3"/>
        <v>1904.9704006065485</v>
      </c>
      <c r="K58" s="22"/>
      <c r="L58" s="16">
        <f t="shared" si="4"/>
        <v>120</v>
      </c>
      <c r="M58" s="22" t="s">
        <v>33</v>
      </c>
      <c r="N58" s="22">
        <f t="shared" si="5"/>
        <v>14.999999999999988</v>
      </c>
      <c r="O58" s="5">
        <f t="shared" si="6"/>
        <v>1799.9999999999984</v>
      </c>
    </row>
    <row r="59" spans="1:15">
      <c r="A59" s="1">
        <v>43924</v>
      </c>
      <c r="B59" s="2">
        <v>0.1875</v>
      </c>
      <c r="C59" s="22">
        <v>0</v>
      </c>
      <c r="D59" s="22">
        <v>1.4950000000000001</v>
      </c>
      <c r="E59" s="22">
        <v>12.592000000000001</v>
      </c>
      <c r="F59" s="3">
        <f t="shared" si="0"/>
        <v>0.50022700000000009</v>
      </c>
      <c r="G59" s="12">
        <f t="shared" si="1"/>
        <v>116.4691127013436</v>
      </c>
      <c r="H59" s="22" t="s">
        <v>33</v>
      </c>
      <c r="I59" s="22">
        <f t="shared" si="2"/>
        <v>14.999999999999988</v>
      </c>
      <c r="J59" s="5">
        <f t="shared" si="3"/>
        <v>1747.0366905201527</v>
      </c>
      <c r="K59" s="22"/>
      <c r="L59" s="16">
        <f t="shared" si="4"/>
        <v>116.4691127013436</v>
      </c>
      <c r="M59" s="22" t="s">
        <v>33</v>
      </c>
      <c r="N59" s="22">
        <f t="shared" si="5"/>
        <v>14.999999999999988</v>
      </c>
      <c r="O59" s="5">
        <f t="shared" si="6"/>
        <v>1747.0366905201527</v>
      </c>
    </row>
    <row r="60" spans="1:15">
      <c r="A60" s="1">
        <v>43924</v>
      </c>
      <c r="B60" s="2">
        <v>0.19791666666666666</v>
      </c>
      <c r="C60" s="22">
        <v>0</v>
      </c>
      <c r="D60" s="22">
        <v>1.49</v>
      </c>
      <c r="E60" s="22">
        <v>12.538</v>
      </c>
      <c r="F60" s="3">
        <f t="shared" si="0"/>
        <v>0.498554</v>
      </c>
      <c r="G60" s="12">
        <f t="shared" si="1"/>
        <v>115.46678197659638</v>
      </c>
      <c r="H60" s="22" t="s">
        <v>33</v>
      </c>
      <c r="I60" s="22">
        <f t="shared" si="2"/>
        <v>15.000000000000027</v>
      </c>
      <c r="J60" s="5">
        <f t="shared" si="3"/>
        <v>1732.0017296489489</v>
      </c>
      <c r="K60" s="22"/>
      <c r="L60" s="16">
        <f t="shared" si="4"/>
        <v>115.46678197659638</v>
      </c>
      <c r="M60" s="22" t="s">
        <v>33</v>
      </c>
      <c r="N60" s="22">
        <f t="shared" si="5"/>
        <v>15.000000000000027</v>
      </c>
      <c r="O60" s="5">
        <f t="shared" si="6"/>
        <v>1732.0017296489489</v>
      </c>
    </row>
    <row r="61" spans="1:15">
      <c r="A61" s="1">
        <v>43924</v>
      </c>
      <c r="B61" s="2">
        <v>0.20833333333333334</v>
      </c>
      <c r="C61" s="22">
        <v>0</v>
      </c>
      <c r="D61" s="22">
        <v>1.508</v>
      </c>
      <c r="E61" s="22">
        <v>12.478999999999999</v>
      </c>
      <c r="F61" s="3">
        <f t="shared" si="0"/>
        <v>0.50457680000000005</v>
      </c>
      <c r="G61" s="12">
        <f t="shared" si="1"/>
        <v>119.10005196837439</v>
      </c>
      <c r="H61" s="22" t="s">
        <v>33</v>
      </c>
      <c r="I61" s="22">
        <f t="shared" si="2"/>
        <v>14.999999999999988</v>
      </c>
      <c r="J61" s="5">
        <f t="shared" si="3"/>
        <v>1786.5007795256142</v>
      </c>
      <c r="K61" s="22"/>
      <c r="L61" s="16">
        <f t="shared" si="4"/>
        <v>119.10005196837439</v>
      </c>
      <c r="M61" s="22" t="s">
        <v>33</v>
      </c>
      <c r="N61" s="22">
        <f t="shared" si="5"/>
        <v>14.999999999999988</v>
      </c>
      <c r="O61" s="5">
        <f t="shared" si="6"/>
        <v>1786.5007795256142</v>
      </c>
    </row>
    <row r="62" spans="1:15">
      <c r="A62" s="1">
        <v>43924</v>
      </c>
      <c r="B62" s="2">
        <v>0.21875</v>
      </c>
      <c r="C62" s="22">
        <v>0</v>
      </c>
      <c r="D62" s="22">
        <v>1.54</v>
      </c>
      <c r="E62" s="22">
        <v>12.419</v>
      </c>
      <c r="F62" s="3">
        <f t="shared" si="0"/>
        <v>0.51528400000000008</v>
      </c>
      <c r="G62" s="12">
        <f t="shared" si="1"/>
        <v>125.73029935657615</v>
      </c>
      <c r="H62" s="22" t="s">
        <v>33</v>
      </c>
      <c r="I62" s="22">
        <f t="shared" si="2"/>
        <v>14.999999999999988</v>
      </c>
      <c r="J62" s="5">
        <f t="shared" si="3"/>
        <v>1885.9544903486408</v>
      </c>
      <c r="K62" s="22"/>
      <c r="L62" s="16">
        <f t="shared" si="4"/>
        <v>120</v>
      </c>
      <c r="M62" s="22" t="s">
        <v>33</v>
      </c>
      <c r="N62" s="22">
        <f t="shared" si="5"/>
        <v>14.999999999999988</v>
      </c>
      <c r="O62" s="5">
        <f t="shared" si="6"/>
        <v>1799.9999999999984</v>
      </c>
    </row>
    <row r="63" spans="1:15">
      <c r="A63" s="1">
        <v>43924</v>
      </c>
      <c r="B63" s="2">
        <v>0.22916666666666666</v>
      </c>
      <c r="C63" s="22">
        <v>0</v>
      </c>
      <c r="D63" s="22">
        <v>1.5029999999999999</v>
      </c>
      <c r="E63" s="22">
        <v>12.353</v>
      </c>
      <c r="F63" s="3">
        <f t="shared" si="0"/>
        <v>0.50290380000000001</v>
      </c>
      <c r="G63" s="12">
        <f t="shared" si="1"/>
        <v>118.08389222995946</v>
      </c>
      <c r="H63" s="22" t="s">
        <v>33</v>
      </c>
      <c r="I63" s="22">
        <f t="shared" si="2"/>
        <v>15.000000000000027</v>
      </c>
      <c r="J63" s="5">
        <f t="shared" si="3"/>
        <v>1771.2583834493951</v>
      </c>
      <c r="K63" s="22"/>
      <c r="L63" s="16">
        <f t="shared" si="4"/>
        <v>118.08389222995946</v>
      </c>
      <c r="M63" s="22" t="s">
        <v>33</v>
      </c>
      <c r="N63" s="22">
        <f t="shared" si="5"/>
        <v>15.000000000000027</v>
      </c>
      <c r="O63" s="5">
        <f t="shared" si="6"/>
        <v>1771.2583834493951</v>
      </c>
    </row>
    <row r="64" spans="1:15">
      <c r="A64" s="1">
        <v>43924</v>
      </c>
      <c r="B64" s="2">
        <v>0.23958333333333334</v>
      </c>
      <c r="C64" s="22">
        <v>0</v>
      </c>
      <c r="D64" s="22">
        <v>1.5229999999999999</v>
      </c>
      <c r="E64" s="22">
        <v>12.294</v>
      </c>
      <c r="F64" s="3">
        <f t="shared" si="0"/>
        <v>0.50959579999999993</v>
      </c>
      <c r="G64" s="12">
        <f t="shared" si="1"/>
        <v>122.18059631881087</v>
      </c>
      <c r="H64" s="22" t="s">
        <v>33</v>
      </c>
      <c r="I64" s="22">
        <f t="shared" si="2"/>
        <v>14.999999999999988</v>
      </c>
      <c r="J64" s="5">
        <f t="shared" si="3"/>
        <v>1832.7089447821616</v>
      </c>
      <c r="K64" s="22"/>
      <c r="L64" s="16">
        <f t="shared" si="4"/>
        <v>120</v>
      </c>
      <c r="M64" s="22" t="s">
        <v>33</v>
      </c>
      <c r="N64" s="22">
        <f t="shared" si="5"/>
        <v>14.999999999999988</v>
      </c>
      <c r="O64" s="5">
        <f t="shared" si="6"/>
        <v>1799.9999999999984</v>
      </c>
    </row>
    <row r="65" spans="1:15">
      <c r="A65" s="1">
        <v>43924</v>
      </c>
      <c r="B65" s="2">
        <v>0.25</v>
      </c>
      <c r="C65" s="22">
        <v>0</v>
      </c>
      <c r="D65" s="22">
        <v>1.5580000000000001</v>
      </c>
      <c r="E65" s="22">
        <v>12.239000000000001</v>
      </c>
      <c r="F65" s="3">
        <f t="shared" si="0"/>
        <v>0.52130680000000007</v>
      </c>
      <c r="G65" s="12">
        <f t="shared" si="1"/>
        <v>129.55689154131485</v>
      </c>
      <c r="H65" s="22" t="s">
        <v>33</v>
      </c>
      <c r="I65" s="22">
        <f t="shared" si="2"/>
        <v>15.000000000000027</v>
      </c>
      <c r="J65" s="5">
        <f t="shared" si="3"/>
        <v>1943.3533731197263</v>
      </c>
      <c r="K65" s="22"/>
      <c r="L65" s="16">
        <f t="shared" si="4"/>
        <v>120</v>
      </c>
      <c r="M65" s="22" t="s">
        <v>33</v>
      </c>
      <c r="N65" s="22">
        <f t="shared" si="5"/>
        <v>15.000000000000027</v>
      </c>
      <c r="O65" s="5">
        <f t="shared" si="6"/>
        <v>1800.0000000000032</v>
      </c>
    </row>
    <row r="66" spans="1:15">
      <c r="A66" s="1">
        <v>43924</v>
      </c>
      <c r="B66" s="2">
        <v>0.26041666666666669</v>
      </c>
      <c r="C66" s="22">
        <v>0</v>
      </c>
      <c r="D66" s="22">
        <v>1.577</v>
      </c>
      <c r="E66" s="22">
        <v>12.186999999999999</v>
      </c>
      <c r="F66" s="3">
        <f t="shared" si="0"/>
        <v>0.52766420000000003</v>
      </c>
      <c r="G66" s="12">
        <f t="shared" si="1"/>
        <v>133.67255790413083</v>
      </c>
      <c r="H66" s="22" t="s">
        <v>33</v>
      </c>
      <c r="I66" s="22">
        <f t="shared" si="2"/>
        <v>14.999999999999947</v>
      </c>
      <c r="J66" s="5">
        <f t="shared" si="3"/>
        <v>2005.0883685619553</v>
      </c>
      <c r="K66" s="22"/>
      <c r="L66" s="16">
        <f t="shared" si="4"/>
        <v>120</v>
      </c>
      <c r="M66" s="22" t="s">
        <v>33</v>
      </c>
      <c r="N66" s="22">
        <f t="shared" si="5"/>
        <v>14.999999999999947</v>
      </c>
      <c r="O66" s="5">
        <f t="shared" si="6"/>
        <v>1799.9999999999936</v>
      </c>
    </row>
    <row r="67" spans="1:15">
      <c r="A67" s="1">
        <v>43924</v>
      </c>
      <c r="B67" s="2">
        <v>0.27083333333333331</v>
      </c>
      <c r="C67" s="22">
        <v>0</v>
      </c>
      <c r="D67" s="22">
        <v>1.532</v>
      </c>
      <c r="E67" s="22">
        <v>12.14</v>
      </c>
      <c r="F67" s="3">
        <f t="shared" ref="F67:F100" si="7">D67*0.3346</f>
        <v>0.51260720000000004</v>
      </c>
      <c r="G67" s="12">
        <f t="shared" ref="G67:G100" si="8">695.6*(F67^2.58)</f>
        <v>124.05209535069993</v>
      </c>
      <c r="H67" s="22" t="s">
        <v>33</v>
      </c>
      <c r="I67" s="22">
        <f t="shared" si="2"/>
        <v>15.000000000000027</v>
      </c>
      <c r="J67" s="5">
        <f t="shared" si="3"/>
        <v>1860.7814302605022</v>
      </c>
      <c r="K67" s="22"/>
      <c r="L67" s="16">
        <f t="shared" si="4"/>
        <v>120</v>
      </c>
      <c r="M67" s="22" t="s">
        <v>33</v>
      </c>
      <c r="N67" s="22">
        <f t="shared" si="5"/>
        <v>15.000000000000027</v>
      </c>
      <c r="O67" s="5">
        <f t="shared" si="6"/>
        <v>1800.0000000000032</v>
      </c>
    </row>
    <row r="68" spans="1:15">
      <c r="A68" s="1">
        <v>43924</v>
      </c>
      <c r="B68" s="2">
        <v>0.28125</v>
      </c>
      <c r="C68" s="22">
        <v>0</v>
      </c>
      <c r="D68" s="22">
        <v>1.5369999999999999</v>
      </c>
      <c r="E68" s="22">
        <v>12.096</v>
      </c>
      <c r="F68" s="3">
        <f t="shared" si="7"/>
        <v>0.51428019999999997</v>
      </c>
      <c r="G68" s="12">
        <f t="shared" si="8"/>
        <v>125.09935426737199</v>
      </c>
      <c r="H68" s="22" t="s">
        <v>33</v>
      </c>
      <c r="I68" s="22">
        <f t="shared" ref="I68:I98" si="9">CONVERT((B69-B68),"day","mn")</f>
        <v>15.000000000000027</v>
      </c>
      <c r="J68" s="5">
        <f t="shared" ref="J68:J98" si="10">G68*I68</f>
        <v>1876.4903140105832</v>
      </c>
      <c r="K68" s="22"/>
      <c r="L68" s="16">
        <f t="shared" ref="L68:L100" si="11">IF(G68&gt;120,120,G68)</f>
        <v>120</v>
      </c>
      <c r="M68" s="22" t="s">
        <v>33</v>
      </c>
      <c r="N68" s="22">
        <f t="shared" ref="N68:N99" si="12">CONVERT((B69-B68),"day","mn")</f>
        <v>15.000000000000027</v>
      </c>
      <c r="O68" s="5">
        <f t="shared" ref="O68:O100" si="13">L68*N68</f>
        <v>1800.0000000000032</v>
      </c>
    </row>
    <row r="69" spans="1:15">
      <c r="A69" s="1">
        <v>43924</v>
      </c>
      <c r="B69" s="2">
        <v>0.29166666666666669</v>
      </c>
      <c r="C69" s="22">
        <v>0</v>
      </c>
      <c r="D69" s="22">
        <v>1.5269999999999999</v>
      </c>
      <c r="E69" s="22">
        <v>12.057</v>
      </c>
      <c r="F69" s="3">
        <f t="shared" si="7"/>
        <v>0.51093420000000001</v>
      </c>
      <c r="G69" s="12">
        <f t="shared" si="8"/>
        <v>123.01022289207155</v>
      </c>
      <c r="H69" s="22" t="s">
        <v>33</v>
      </c>
      <c r="I69" s="22">
        <f t="shared" si="9"/>
        <v>14.999999999999947</v>
      </c>
      <c r="J69" s="5">
        <f t="shared" si="10"/>
        <v>1845.1533433810666</v>
      </c>
      <c r="K69" s="22"/>
      <c r="L69" s="16">
        <f t="shared" si="11"/>
        <v>120</v>
      </c>
      <c r="M69" s="22" t="s">
        <v>33</v>
      </c>
      <c r="N69" s="22">
        <f t="shared" si="12"/>
        <v>14.999999999999947</v>
      </c>
      <c r="O69" s="5">
        <f t="shared" si="13"/>
        <v>1799.9999999999936</v>
      </c>
    </row>
    <row r="70" spans="1:15">
      <c r="A70" s="1">
        <v>43924</v>
      </c>
      <c r="B70" s="2">
        <v>0.30208333333333331</v>
      </c>
      <c r="C70" s="22">
        <v>0</v>
      </c>
      <c r="D70" s="22">
        <v>1.5169999999999999</v>
      </c>
      <c r="E70" s="22">
        <v>12.013999999999999</v>
      </c>
      <c r="F70" s="3">
        <f t="shared" si="7"/>
        <v>0.50758819999999993</v>
      </c>
      <c r="G70" s="12">
        <f t="shared" si="8"/>
        <v>120.94259652168559</v>
      </c>
      <c r="H70" s="22" t="s">
        <v>33</v>
      </c>
      <c r="I70" s="22">
        <f t="shared" si="9"/>
        <v>15.000000000000027</v>
      </c>
      <c r="J70" s="5">
        <f t="shared" si="10"/>
        <v>1814.138947825287</v>
      </c>
      <c r="K70" s="22"/>
      <c r="L70" s="16">
        <f t="shared" si="11"/>
        <v>120</v>
      </c>
      <c r="M70" s="22" t="s">
        <v>33</v>
      </c>
      <c r="N70" s="22">
        <f t="shared" si="12"/>
        <v>15.000000000000027</v>
      </c>
      <c r="O70" s="5">
        <f t="shared" si="13"/>
        <v>1800.0000000000032</v>
      </c>
    </row>
    <row r="71" spans="1:15">
      <c r="A71" s="1">
        <v>43924</v>
      </c>
      <c r="B71" s="2">
        <v>0.3125</v>
      </c>
      <c r="C71" s="22">
        <v>0</v>
      </c>
      <c r="D71" s="22">
        <v>1.518</v>
      </c>
      <c r="E71" s="22">
        <v>11.972</v>
      </c>
      <c r="F71" s="3">
        <f t="shared" si="7"/>
        <v>0.50792280000000001</v>
      </c>
      <c r="G71" s="12">
        <f t="shared" si="8"/>
        <v>121.14839376289966</v>
      </c>
      <c r="H71" s="22" t="s">
        <v>33</v>
      </c>
      <c r="I71" s="22">
        <f t="shared" si="9"/>
        <v>15.000000000000027</v>
      </c>
      <c r="J71" s="5">
        <f t="shared" si="10"/>
        <v>1817.2259064434982</v>
      </c>
      <c r="K71" s="22"/>
      <c r="L71" s="16">
        <f t="shared" si="11"/>
        <v>120</v>
      </c>
      <c r="M71" s="22" t="s">
        <v>33</v>
      </c>
      <c r="N71" s="22">
        <f t="shared" si="12"/>
        <v>15.000000000000027</v>
      </c>
      <c r="O71" s="5">
        <f t="shared" si="13"/>
        <v>1800.0000000000032</v>
      </c>
    </row>
    <row r="72" spans="1:15">
      <c r="A72" s="1">
        <v>43924</v>
      </c>
      <c r="B72" s="2">
        <v>0.32291666666666669</v>
      </c>
      <c r="C72" s="22">
        <v>0</v>
      </c>
      <c r="D72" s="22">
        <v>1.5129999999999999</v>
      </c>
      <c r="E72" s="22">
        <v>11.946999999999999</v>
      </c>
      <c r="F72" s="3">
        <f t="shared" si="7"/>
        <v>0.50624979999999997</v>
      </c>
      <c r="G72" s="12">
        <f t="shared" si="8"/>
        <v>120.12154906034982</v>
      </c>
      <c r="H72" s="22" t="s">
        <v>33</v>
      </c>
      <c r="I72" s="22">
        <f t="shared" si="9"/>
        <v>14.999999999999947</v>
      </c>
      <c r="J72" s="5">
        <f t="shared" si="10"/>
        <v>1801.8232359052408</v>
      </c>
      <c r="K72" s="22"/>
      <c r="L72" s="16">
        <f t="shared" si="11"/>
        <v>120</v>
      </c>
      <c r="M72" s="22" t="s">
        <v>33</v>
      </c>
      <c r="N72" s="22">
        <f t="shared" si="12"/>
        <v>14.999999999999947</v>
      </c>
      <c r="O72" s="5">
        <f t="shared" si="13"/>
        <v>1799.9999999999936</v>
      </c>
    </row>
    <row r="73" spans="1:15">
      <c r="A73" s="1">
        <v>43924</v>
      </c>
      <c r="B73" s="2">
        <v>0.33333333333333331</v>
      </c>
      <c r="C73" s="22">
        <v>0</v>
      </c>
      <c r="D73" s="22">
        <v>1.5089999999999999</v>
      </c>
      <c r="E73" s="22">
        <v>11.941000000000001</v>
      </c>
      <c r="F73" s="3">
        <f t="shared" si="7"/>
        <v>0.50491140000000001</v>
      </c>
      <c r="G73" s="12">
        <f t="shared" si="8"/>
        <v>119.30392407005476</v>
      </c>
      <c r="H73" s="22" t="s">
        <v>33</v>
      </c>
      <c r="I73" s="22">
        <f t="shared" si="9"/>
        <v>15.000000000000027</v>
      </c>
      <c r="J73" s="5">
        <f t="shared" si="10"/>
        <v>1789.5588610508246</v>
      </c>
      <c r="K73" s="22"/>
      <c r="L73" s="16">
        <f t="shared" si="11"/>
        <v>119.30392407005476</v>
      </c>
      <c r="M73" s="22" t="s">
        <v>33</v>
      </c>
      <c r="N73" s="22">
        <f t="shared" si="12"/>
        <v>15.000000000000027</v>
      </c>
      <c r="O73" s="5">
        <f t="shared" si="13"/>
        <v>1789.5588610508246</v>
      </c>
    </row>
    <row r="74" spans="1:15">
      <c r="A74" s="1">
        <v>43924</v>
      </c>
      <c r="B74" s="2">
        <v>0.34375</v>
      </c>
      <c r="C74" s="22">
        <v>0</v>
      </c>
      <c r="D74" s="22">
        <v>1.508</v>
      </c>
      <c r="E74" s="22">
        <v>11.964</v>
      </c>
      <c r="F74" s="3">
        <f t="shared" si="7"/>
        <v>0.50457680000000005</v>
      </c>
      <c r="G74" s="12">
        <f t="shared" si="8"/>
        <v>119.10005196837439</v>
      </c>
      <c r="H74" s="22" t="s">
        <v>33</v>
      </c>
      <c r="I74" s="22">
        <f t="shared" si="9"/>
        <v>15.000000000000027</v>
      </c>
      <c r="J74" s="5">
        <f t="shared" si="10"/>
        <v>1786.500779525619</v>
      </c>
      <c r="K74" s="22"/>
      <c r="L74" s="16">
        <f t="shared" si="11"/>
        <v>119.10005196837439</v>
      </c>
      <c r="M74" s="22" t="s">
        <v>33</v>
      </c>
      <c r="N74" s="22">
        <f t="shared" si="12"/>
        <v>15.000000000000027</v>
      </c>
      <c r="O74" s="5">
        <f t="shared" si="13"/>
        <v>1786.500779525619</v>
      </c>
    </row>
    <row r="75" spans="1:15">
      <c r="A75" s="1">
        <v>43924</v>
      </c>
      <c r="B75" s="2">
        <v>0.35416666666666669</v>
      </c>
      <c r="C75" s="22">
        <v>0</v>
      </c>
      <c r="D75" s="22">
        <v>1.5549999999999999</v>
      </c>
      <c r="E75" s="22">
        <v>12.048</v>
      </c>
      <c r="F75" s="3">
        <f t="shared" si="7"/>
        <v>0.52030299999999996</v>
      </c>
      <c r="G75" s="12">
        <f t="shared" si="8"/>
        <v>128.91424358668314</v>
      </c>
      <c r="H75" s="22" t="s">
        <v>33</v>
      </c>
      <c r="I75" s="22">
        <f t="shared" si="9"/>
        <v>14.999999999999947</v>
      </c>
      <c r="J75" s="5">
        <f t="shared" si="10"/>
        <v>1933.7136538002403</v>
      </c>
      <c r="K75" s="22"/>
      <c r="L75" s="16">
        <f t="shared" si="11"/>
        <v>120</v>
      </c>
      <c r="M75" s="22" t="s">
        <v>33</v>
      </c>
      <c r="N75" s="22">
        <f t="shared" si="12"/>
        <v>14.999999999999947</v>
      </c>
      <c r="O75" s="5">
        <f t="shared" si="13"/>
        <v>1799.9999999999936</v>
      </c>
    </row>
    <row r="76" spans="1:15">
      <c r="A76" s="1">
        <v>43924</v>
      </c>
      <c r="B76" s="2">
        <v>0.36458333333333331</v>
      </c>
      <c r="C76" s="22">
        <v>0</v>
      </c>
      <c r="D76" s="22">
        <v>1.579</v>
      </c>
      <c r="E76" s="22">
        <v>12.183999999999999</v>
      </c>
      <c r="F76" s="3">
        <f t="shared" si="7"/>
        <v>0.52833339999999995</v>
      </c>
      <c r="G76" s="12">
        <f t="shared" si="8"/>
        <v>134.11037758120631</v>
      </c>
      <c r="H76" s="22" t="s">
        <v>33</v>
      </c>
      <c r="I76" s="22">
        <f t="shared" si="9"/>
        <v>15.000000000000027</v>
      </c>
      <c r="J76" s="5">
        <f t="shared" si="10"/>
        <v>2011.6556637180981</v>
      </c>
      <c r="K76" s="22"/>
      <c r="L76" s="16">
        <f t="shared" si="11"/>
        <v>120</v>
      </c>
      <c r="M76" s="22" t="s">
        <v>33</v>
      </c>
      <c r="N76" s="22">
        <f t="shared" si="12"/>
        <v>15.000000000000027</v>
      </c>
      <c r="O76" s="5">
        <f t="shared" si="13"/>
        <v>1800.0000000000032</v>
      </c>
    </row>
    <row r="77" spans="1:15">
      <c r="A77" s="1">
        <v>43924</v>
      </c>
      <c r="B77" s="2">
        <v>0.375</v>
      </c>
      <c r="C77" s="22">
        <v>0</v>
      </c>
      <c r="D77" s="22">
        <v>1.6120000000000001</v>
      </c>
      <c r="E77" s="22">
        <v>12.368</v>
      </c>
      <c r="F77" s="3">
        <f t="shared" si="7"/>
        <v>0.53937520000000005</v>
      </c>
      <c r="G77" s="12">
        <f t="shared" si="8"/>
        <v>141.46150900462391</v>
      </c>
      <c r="H77" s="22" t="s">
        <v>33</v>
      </c>
      <c r="I77" s="22">
        <f t="shared" si="9"/>
        <v>15.000000000000027</v>
      </c>
      <c r="J77" s="5">
        <f t="shared" si="10"/>
        <v>2121.9226350693625</v>
      </c>
      <c r="K77" s="22"/>
      <c r="L77" s="16">
        <f t="shared" si="11"/>
        <v>120</v>
      </c>
      <c r="M77" s="22" t="s">
        <v>33</v>
      </c>
      <c r="N77" s="22">
        <f t="shared" si="12"/>
        <v>15.000000000000027</v>
      </c>
      <c r="O77" s="5">
        <f t="shared" si="13"/>
        <v>1800.0000000000032</v>
      </c>
    </row>
    <row r="78" spans="1:15">
      <c r="A78" s="1">
        <v>43924</v>
      </c>
      <c r="B78" s="2">
        <v>0.38541666666666669</v>
      </c>
      <c r="C78" s="22">
        <v>0</v>
      </c>
      <c r="D78" s="22">
        <v>1.657</v>
      </c>
      <c r="E78" s="22">
        <v>12.584</v>
      </c>
      <c r="F78" s="3">
        <f t="shared" si="7"/>
        <v>0.55443220000000004</v>
      </c>
      <c r="G78" s="12">
        <f t="shared" si="8"/>
        <v>151.87579404467792</v>
      </c>
      <c r="H78" s="22" t="s">
        <v>33</v>
      </c>
      <c r="I78" s="22">
        <f t="shared" si="9"/>
        <v>14.999999999999947</v>
      </c>
      <c r="J78" s="5">
        <f t="shared" si="10"/>
        <v>2278.1369106701609</v>
      </c>
      <c r="K78" s="22"/>
      <c r="L78" s="16">
        <f t="shared" si="11"/>
        <v>120</v>
      </c>
      <c r="M78" s="22" t="s">
        <v>33</v>
      </c>
      <c r="N78" s="22">
        <f t="shared" si="12"/>
        <v>14.999999999999947</v>
      </c>
      <c r="O78" s="5">
        <f t="shared" si="13"/>
        <v>1799.9999999999936</v>
      </c>
    </row>
    <row r="79" spans="1:15">
      <c r="A79" s="1">
        <v>43924</v>
      </c>
      <c r="B79" s="2">
        <v>0.39583333333333331</v>
      </c>
      <c r="C79" s="22">
        <v>0</v>
      </c>
      <c r="D79" s="22">
        <v>1.746</v>
      </c>
      <c r="E79" s="22">
        <v>12.82</v>
      </c>
      <c r="F79" s="3">
        <f t="shared" si="7"/>
        <v>0.58421160000000005</v>
      </c>
      <c r="G79" s="12">
        <f t="shared" si="8"/>
        <v>173.82435534060346</v>
      </c>
      <c r="H79" s="22" t="s">
        <v>33</v>
      </c>
      <c r="I79" s="22">
        <f t="shared" si="9"/>
        <v>15.000000000000027</v>
      </c>
      <c r="J79" s="5">
        <f t="shared" si="10"/>
        <v>2607.3653301090567</v>
      </c>
      <c r="K79" s="22"/>
      <c r="L79" s="16">
        <f t="shared" si="11"/>
        <v>120</v>
      </c>
      <c r="M79" s="22" t="s">
        <v>33</v>
      </c>
      <c r="N79" s="22">
        <f t="shared" si="12"/>
        <v>15.000000000000027</v>
      </c>
      <c r="O79" s="5">
        <f t="shared" si="13"/>
        <v>1800.0000000000032</v>
      </c>
    </row>
    <row r="80" spans="1:15">
      <c r="A80" s="1">
        <v>43924</v>
      </c>
      <c r="B80" s="2">
        <v>0.40625</v>
      </c>
      <c r="C80" s="22">
        <v>0</v>
      </c>
      <c r="D80" s="22">
        <v>1.774</v>
      </c>
      <c r="E80" s="22">
        <v>13.053000000000001</v>
      </c>
      <c r="F80" s="3">
        <f t="shared" si="7"/>
        <v>0.59358040000000001</v>
      </c>
      <c r="G80" s="12">
        <f t="shared" si="8"/>
        <v>181.10765937217033</v>
      </c>
      <c r="H80" s="22" t="s">
        <v>33</v>
      </c>
      <c r="I80" s="22">
        <f t="shared" si="9"/>
        <v>15.000000000000027</v>
      </c>
      <c r="J80" s="5">
        <f t="shared" si="10"/>
        <v>2716.6148905825598</v>
      </c>
      <c r="K80" s="22"/>
      <c r="L80" s="16">
        <f t="shared" si="11"/>
        <v>120</v>
      </c>
      <c r="M80" s="22" t="s">
        <v>33</v>
      </c>
      <c r="N80" s="22">
        <f t="shared" si="12"/>
        <v>15.000000000000027</v>
      </c>
      <c r="O80" s="5">
        <f t="shared" si="13"/>
        <v>1800.0000000000032</v>
      </c>
    </row>
    <row r="81" spans="1:15">
      <c r="A81" s="1">
        <v>43924</v>
      </c>
      <c r="B81" s="2">
        <v>0.41666666666666669</v>
      </c>
      <c r="C81" s="22">
        <v>0</v>
      </c>
      <c r="D81" s="22">
        <v>1.7709999999999999</v>
      </c>
      <c r="E81" s="22">
        <v>13.275</v>
      </c>
      <c r="F81" s="3">
        <f t="shared" si="7"/>
        <v>0.59257660000000001</v>
      </c>
      <c r="G81" s="12">
        <f t="shared" si="8"/>
        <v>180.31853807713688</v>
      </c>
      <c r="H81" s="22" t="s">
        <v>33</v>
      </c>
      <c r="I81" s="22">
        <f t="shared" si="9"/>
        <v>14.999999999999947</v>
      </c>
      <c r="J81" s="5">
        <f t="shared" si="10"/>
        <v>2704.7780711570435</v>
      </c>
      <c r="K81" s="22"/>
      <c r="L81" s="16">
        <f t="shared" si="11"/>
        <v>120</v>
      </c>
      <c r="M81" s="22" t="s">
        <v>33</v>
      </c>
      <c r="N81" s="22">
        <f t="shared" si="12"/>
        <v>14.999999999999947</v>
      </c>
      <c r="O81" s="5">
        <f t="shared" si="13"/>
        <v>1799.9999999999936</v>
      </c>
    </row>
    <row r="82" spans="1:15">
      <c r="A82" s="1">
        <v>43924</v>
      </c>
      <c r="B82" s="2">
        <v>0.42708333333333331</v>
      </c>
      <c r="C82" s="22">
        <v>0</v>
      </c>
      <c r="D82" s="22">
        <v>1.7609999999999999</v>
      </c>
      <c r="E82" s="22">
        <v>13.49</v>
      </c>
      <c r="F82" s="3">
        <f t="shared" si="7"/>
        <v>0.58923059999999994</v>
      </c>
      <c r="G82" s="12">
        <f t="shared" si="8"/>
        <v>177.70335539114322</v>
      </c>
      <c r="H82" s="22" t="s">
        <v>33</v>
      </c>
      <c r="I82" s="22">
        <f t="shared" si="9"/>
        <v>15.000000000000027</v>
      </c>
      <c r="J82" s="5">
        <f t="shared" si="10"/>
        <v>2665.5503308671532</v>
      </c>
      <c r="K82" s="22"/>
      <c r="L82" s="16">
        <f t="shared" si="11"/>
        <v>120</v>
      </c>
      <c r="M82" s="22" t="s">
        <v>33</v>
      </c>
      <c r="N82" s="22">
        <f t="shared" si="12"/>
        <v>15.000000000000027</v>
      </c>
      <c r="O82" s="5">
        <f t="shared" si="13"/>
        <v>1800.0000000000032</v>
      </c>
    </row>
    <row r="83" spans="1:15">
      <c r="A83" s="1">
        <v>43924</v>
      </c>
      <c r="B83" s="2">
        <v>0.4375</v>
      </c>
      <c r="C83" s="22">
        <v>0</v>
      </c>
      <c r="D83" s="22">
        <v>1.877</v>
      </c>
      <c r="E83" s="22">
        <v>13.74</v>
      </c>
      <c r="F83" s="3">
        <f t="shared" si="7"/>
        <v>0.62804420000000005</v>
      </c>
      <c r="G83" s="12">
        <f t="shared" si="8"/>
        <v>209.49531404635118</v>
      </c>
      <c r="H83" s="22" t="s">
        <v>33</v>
      </c>
      <c r="I83" s="22">
        <f t="shared" si="9"/>
        <v>15.000000000000027</v>
      </c>
      <c r="J83" s="5">
        <f t="shared" si="10"/>
        <v>3142.4297106952731</v>
      </c>
      <c r="K83" s="22"/>
      <c r="L83" s="16">
        <f t="shared" si="11"/>
        <v>120</v>
      </c>
      <c r="M83" s="22" t="s">
        <v>33</v>
      </c>
      <c r="N83" s="22">
        <f t="shared" si="12"/>
        <v>15.000000000000027</v>
      </c>
      <c r="O83" s="5">
        <f t="shared" si="13"/>
        <v>1800.0000000000032</v>
      </c>
    </row>
    <row r="84" spans="1:15">
      <c r="A84" s="1">
        <v>43924</v>
      </c>
      <c r="B84" s="2">
        <v>0.44791666666666669</v>
      </c>
      <c r="C84" s="22">
        <v>0</v>
      </c>
      <c r="D84" s="22">
        <v>1.861</v>
      </c>
      <c r="E84" s="22">
        <v>14.02</v>
      </c>
      <c r="F84" s="3">
        <f t="shared" si="7"/>
        <v>0.62269059999999998</v>
      </c>
      <c r="G84" s="12">
        <f t="shared" si="8"/>
        <v>204.9189550058156</v>
      </c>
      <c r="H84" s="22" t="s">
        <v>33</v>
      </c>
      <c r="I84" s="22">
        <f t="shared" si="9"/>
        <v>14.999999999999947</v>
      </c>
      <c r="J84" s="5">
        <f t="shared" si="10"/>
        <v>3073.7843250872234</v>
      </c>
      <c r="K84" s="22"/>
      <c r="L84" s="16">
        <f t="shared" si="11"/>
        <v>120</v>
      </c>
      <c r="M84" s="22" t="s">
        <v>33</v>
      </c>
      <c r="N84" s="22">
        <f t="shared" si="12"/>
        <v>14.999999999999947</v>
      </c>
      <c r="O84" s="5">
        <f t="shared" si="13"/>
        <v>1799.9999999999936</v>
      </c>
    </row>
    <row r="85" spans="1:15">
      <c r="A85" s="1">
        <v>43924</v>
      </c>
      <c r="B85" s="2">
        <v>0.45833333333333331</v>
      </c>
      <c r="C85" s="22">
        <v>0</v>
      </c>
      <c r="D85" s="22">
        <v>1.851</v>
      </c>
      <c r="E85" s="22">
        <v>14.333</v>
      </c>
      <c r="F85" s="3">
        <f t="shared" si="7"/>
        <v>0.61934460000000002</v>
      </c>
      <c r="G85" s="12">
        <f t="shared" si="8"/>
        <v>202.09010531070155</v>
      </c>
      <c r="H85" s="22" t="s">
        <v>33</v>
      </c>
      <c r="I85" s="22">
        <f t="shared" si="9"/>
        <v>15.000000000000027</v>
      </c>
      <c r="J85" s="5">
        <f t="shared" si="10"/>
        <v>3031.3515796605284</v>
      </c>
      <c r="K85" s="22"/>
      <c r="L85" s="16">
        <f t="shared" si="11"/>
        <v>120</v>
      </c>
      <c r="M85" s="22" t="s">
        <v>33</v>
      </c>
      <c r="N85" s="22">
        <f t="shared" si="12"/>
        <v>15.000000000000027</v>
      </c>
      <c r="O85" s="5">
        <f t="shared" si="13"/>
        <v>1800.0000000000032</v>
      </c>
    </row>
    <row r="86" spans="1:15">
      <c r="A86" s="1">
        <v>43924</v>
      </c>
      <c r="B86" s="2">
        <v>0.46875</v>
      </c>
      <c r="C86" s="22">
        <v>0</v>
      </c>
      <c r="D86" s="22">
        <v>1.823</v>
      </c>
      <c r="E86" s="22">
        <v>14.67</v>
      </c>
      <c r="F86" s="3">
        <f t="shared" si="7"/>
        <v>0.60997579999999996</v>
      </c>
      <c r="G86" s="12">
        <f t="shared" si="8"/>
        <v>194.29699997012798</v>
      </c>
      <c r="H86" s="22" t="s">
        <v>33</v>
      </c>
      <c r="I86" s="22">
        <f t="shared" si="9"/>
        <v>15.000000000000027</v>
      </c>
      <c r="J86" s="5">
        <f t="shared" si="10"/>
        <v>2914.4549995519251</v>
      </c>
      <c r="K86" s="22"/>
      <c r="L86" s="16">
        <f t="shared" si="11"/>
        <v>120</v>
      </c>
      <c r="M86" s="22" t="s">
        <v>33</v>
      </c>
      <c r="N86" s="22">
        <f t="shared" si="12"/>
        <v>15.000000000000027</v>
      </c>
      <c r="O86" s="5">
        <f t="shared" si="13"/>
        <v>1800.0000000000032</v>
      </c>
    </row>
    <row r="87" spans="1:15">
      <c r="A87" s="1">
        <v>43924</v>
      </c>
      <c r="B87" s="2">
        <v>0.47916666666666669</v>
      </c>
      <c r="C87" s="22">
        <v>0</v>
      </c>
      <c r="D87" s="22">
        <v>1.9570000000000001</v>
      </c>
      <c r="E87" s="22">
        <v>15.028</v>
      </c>
      <c r="F87" s="3">
        <f t="shared" si="7"/>
        <v>0.65481220000000007</v>
      </c>
      <c r="G87" s="12">
        <f t="shared" si="8"/>
        <v>233.31401107789119</v>
      </c>
      <c r="H87" s="22" t="s">
        <v>33</v>
      </c>
      <c r="I87" s="22">
        <f t="shared" si="9"/>
        <v>14.999999999999947</v>
      </c>
      <c r="J87" s="5">
        <f t="shared" si="10"/>
        <v>3499.7101661683555</v>
      </c>
      <c r="K87" s="22"/>
      <c r="L87" s="16">
        <f t="shared" si="11"/>
        <v>120</v>
      </c>
      <c r="M87" s="22" t="s">
        <v>33</v>
      </c>
      <c r="N87" s="22">
        <f t="shared" si="12"/>
        <v>14.999999999999947</v>
      </c>
      <c r="O87" s="5">
        <f t="shared" si="13"/>
        <v>1799.9999999999936</v>
      </c>
    </row>
    <row r="88" spans="1:15">
      <c r="A88" s="1">
        <v>43924</v>
      </c>
      <c r="B88" s="2">
        <v>0.48958333333333331</v>
      </c>
      <c r="C88" s="22">
        <v>0</v>
      </c>
      <c r="D88" s="22">
        <v>1.825</v>
      </c>
      <c r="E88" s="22">
        <v>15.363</v>
      </c>
      <c r="F88" s="3">
        <f t="shared" si="7"/>
        <v>0.61064499999999999</v>
      </c>
      <c r="G88" s="12">
        <f t="shared" si="8"/>
        <v>194.84743421970396</v>
      </c>
      <c r="H88" s="22" t="s">
        <v>33</v>
      </c>
      <c r="I88" s="22">
        <f t="shared" si="9"/>
        <v>15.000000000000027</v>
      </c>
      <c r="J88" s="5">
        <f t="shared" si="10"/>
        <v>2922.7115132955646</v>
      </c>
      <c r="K88" s="22"/>
      <c r="L88" s="16">
        <f t="shared" si="11"/>
        <v>120</v>
      </c>
      <c r="M88" s="22" t="s">
        <v>33</v>
      </c>
      <c r="N88" s="22">
        <f t="shared" si="12"/>
        <v>15.000000000000027</v>
      </c>
      <c r="O88" s="5">
        <f t="shared" si="13"/>
        <v>1800.0000000000032</v>
      </c>
    </row>
    <row r="89" spans="1:15">
      <c r="A89" s="1">
        <v>43924</v>
      </c>
      <c r="B89" s="2">
        <v>0.5</v>
      </c>
      <c r="C89" s="22">
        <v>0</v>
      </c>
      <c r="D89" s="22">
        <v>1.8380000000000001</v>
      </c>
      <c r="E89" s="22">
        <v>15.64</v>
      </c>
      <c r="F89" s="3">
        <f t="shared" si="7"/>
        <v>0.61499480000000006</v>
      </c>
      <c r="G89" s="12">
        <f t="shared" si="8"/>
        <v>198.4485353831997</v>
      </c>
      <c r="H89" s="22" t="s">
        <v>33</v>
      </c>
      <c r="I89" s="22">
        <f t="shared" si="9"/>
        <v>14.999999999999947</v>
      </c>
      <c r="J89" s="5">
        <f t="shared" si="10"/>
        <v>2976.728030747985</v>
      </c>
      <c r="K89" s="22"/>
      <c r="L89" s="16">
        <f t="shared" si="11"/>
        <v>120</v>
      </c>
      <c r="M89" s="22" t="s">
        <v>33</v>
      </c>
      <c r="N89" s="22">
        <f t="shared" si="12"/>
        <v>14.999999999999947</v>
      </c>
      <c r="O89" s="5">
        <f t="shared" si="13"/>
        <v>1799.9999999999936</v>
      </c>
    </row>
    <row r="90" spans="1:15">
      <c r="A90" s="1">
        <v>43924</v>
      </c>
      <c r="B90" s="2">
        <v>0.51041666666666663</v>
      </c>
      <c r="C90" s="22">
        <v>0</v>
      </c>
      <c r="D90" s="22">
        <v>1.8140000000000001</v>
      </c>
      <c r="E90" s="22">
        <v>15.894</v>
      </c>
      <c r="F90" s="3">
        <f t="shared" si="7"/>
        <v>0.60696440000000007</v>
      </c>
      <c r="G90" s="12">
        <f t="shared" si="8"/>
        <v>191.83183417055625</v>
      </c>
      <c r="H90" s="22" t="s">
        <v>33</v>
      </c>
      <c r="I90" s="22">
        <f t="shared" si="9"/>
        <v>15.000000000000107</v>
      </c>
      <c r="J90" s="5">
        <f t="shared" si="10"/>
        <v>2877.4775125583642</v>
      </c>
      <c r="K90" s="22"/>
      <c r="L90" s="16">
        <f t="shared" si="11"/>
        <v>120</v>
      </c>
      <c r="M90" s="22" t="s">
        <v>33</v>
      </c>
      <c r="N90" s="22">
        <f t="shared" si="12"/>
        <v>15.000000000000107</v>
      </c>
      <c r="O90" s="5">
        <f t="shared" si="13"/>
        <v>1800.0000000000127</v>
      </c>
    </row>
    <row r="91" spans="1:15">
      <c r="A91" s="1">
        <v>43924</v>
      </c>
      <c r="B91" s="2">
        <v>0.52083333333333337</v>
      </c>
      <c r="C91" s="22">
        <v>0</v>
      </c>
      <c r="D91" s="22">
        <v>1.9930000000000001</v>
      </c>
      <c r="E91" s="22">
        <v>16.146999999999998</v>
      </c>
      <c r="F91" s="3">
        <f t="shared" si="7"/>
        <v>0.66685780000000006</v>
      </c>
      <c r="G91" s="12">
        <f t="shared" si="8"/>
        <v>244.54867859280034</v>
      </c>
      <c r="H91" s="22" t="s">
        <v>33</v>
      </c>
      <c r="I91" s="22">
        <f t="shared" si="9"/>
        <v>14.999999999999947</v>
      </c>
      <c r="J91" s="5">
        <f t="shared" si="10"/>
        <v>3668.2301788919922</v>
      </c>
      <c r="K91" s="22"/>
      <c r="L91" s="16">
        <f t="shared" si="11"/>
        <v>120</v>
      </c>
      <c r="M91" s="22" t="s">
        <v>33</v>
      </c>
      <c r="N91" s="22">
        <f t="shared" si="12"/>
        <v>14.999999999999947</v>
      </c>
      <c r="O91" s="5">
        <f t="shared" si="13"/>
        <v>1799.9999999999936</v>
      </c>
    </row>
    <row r="92" spans="1:15">
      <c r="A92" s="1">
        <v>43924</v>
      </c>
      <c r="B92" s="2">
        <v>0.53125</v>
      </c>
      <c r="C92" s="22">
        <v>0</v>
      </c>
      <c r="D92" s="22">
        <v>1.8460000000000001</v>
      </c>
      <c r="E92" s="22">
        <v>16.390999999999998</v>
      </c>
      <c r="F92" s="3">
        <f t="shared" si="7"/>
        <v>0.6176716000000001</v>
      </c>
      <c r="G92" s="12">
        <f t="shared" si="8"/>
        <v>200.68470171541398</v>
      </c>
      <c r="H92" s="22" t="s">
        <v>33</v>
      </c>
      <c r="I92" s="22">
        <f t="shared" si="9"/>
        <v>9.1333333333333755</v>
      </c>
      <c r="J92" s="5">
        <f t="shared" si="10"/>
        <v>1832.9202756674561</v>
      </c>
      <c r="K92" s="22"/>
      <c r="L92" s="16">
        <f t="shared" si="11"/>
        <v>120</v>
      </c>
      <c r="M92" s="22" t="s">
        <v>33</v>
      </c>
      <c r="N92" s="22">
        <f t="shared" si="12"/>
        <v>9.1333333333333755</v>
      </c>
      <c r="O92" s="5">
        <f t="shared" si="13"/>
        <v>1096.000000000005</v>
      </c>
    </row>
    <row r="93" spans="1:15">
      <c r="A93" s="6">
        <v>43924</v>
      </c>
      <c r="B93" s="7">
        <v>0.53759259259259262</v>
      </c>
      <c r="C93" s="8">
        <v>0</v>
      </c>
      <c r="D93" s="8">
        <f>AVERAGE(D92,D94)</f>
        <v>1.7375</v>
      </c>
      <c r="E93" s="8">
        <v>15.198</v>
      </c>
      <c r="F93" s="9">
        <f t="shared" si="7"/>
        <v>0.58136750000000004</v>
      </c>
      <c r="G93" s="13">
        <f t="shared" si="8"/>
        <v>171.64948630160123</v>
      </c>
      <c r="H93" s="8" t="s">
        <v>33</v>
      </c>
      <c r="I93" s="8">
        <f t="shared" si="9"/>
        <v>14.999999999999947</v>
      </c>
      <c r="J93" s="11">
        <f t="shared" si="10"/>
        <v>2574.7422945240091</v>
      </c>
      <c r="K93" s="5" t="s">
        <v>644</v>
      </c>
      <c r="L93" s="16">
        <f t="shared" si="11"/>
        <v>120</v>
      </c>
      <c r="M93" s="22" t="s">
        <v>33</v>
      </c>
      <c r="N93" s="22">
        <f t="shared" si="12"/>
        <v>14.999999999999947</v>
      </c>
      <c r="O93" s="5">
        <f t="shared" si="13"/>
        <v>1799.9999999999936</v>
      </c>
    </row>
    <row r="94" spans="1:15">
      <c r="A94" s="1">
        <v>43924</v>
      </c>
      <c r="B94" s="2">
        <v>0.54800925925925925</v>
      </c>
      <c r="C94" s="22">
        <v>0</v>
      </c>
      <c r="D94" s="22">
        <v>1.629</v>
      </c>
      <c r="E94" s="22">
        <v>17.503</v>
      </c>
      <c r="F94" s="3">
        <f t="shared" si="7"/>
        <v>0.54506339999999998</v>
      </c>
      <c r="G94" s="12">
        <f t="shared" si="8"/>
        <v>145.34258742429972</v>
      </c>
      <c r="H94" s="22" t="s">
        <v>33</v>
      </c>
      <c r="I94" s="22">
        <f t="shared" si="9"/>
        <v>15.000000000000107</v>
      </c>
      <c r="J94" s="5">
        <f t="shared" si="10"/>
        <v>2180.1388113645112</v>
      </c>
      <c r="K94" s="22"/>
      <c r="L94" s="16">
        <f t="shared" si="11"/>
        <v>120</v>
      </c>
      <c r="M94" s="22" t="s">
        <v>33</v>
      </c>
      <c r="N94" s="22">
        <f t="shared" si="12"/>
        <v>15.000000000000107</v>
      </c>
      <c r="O94" s="5">
        <f t="shared" si="13"/>
        <v>1800.0000000000127</v>
      </c>
    </row>
    <row r="95" spans="1:15">
      <c r="A95" s="1">
        <v>43924</v>
      </c>
      <c r="B95" s="2">
        <v>0.55842592592592599</v>
      </c>
      <c r="C95" s="22">
        <v>0</v>
      </c>
      <c r="D95" s="22">
        <v>1.575</v>
      </c>
      <c r="E95" s="22">
        <v>17.802</v>
      </c>
      <c r="F95" s="3">
        <f t="shared" si="7"/>
        <v>0.52699499999999999</v>
      </c>
      <c r="G95" s="12">
        <f t="shared" si="8"/>
        <v>133.23561465384066</v>
      </c>
      <c r="H95" s="22" t="s">
        <v>33</v>
      </c>
      <c r="I95" s="22">
        <f t="shared" si="9"/>
        <v>14.999999999999947</v>
      </c>
      <c r="J95" s="5">
        <f t="shared" si="10"/>
        <v>1998.5342198076028</v>
      </c>
      <c r="K95" s="22"/>
      <c r="L95" s="16">
        <f t="shared" si="11"/>
        <v>120</v>
      </c>
      <c r="M95" s="22" t="s">
        <v>33</v>
      </c>
      <c r="N95" s="22">
        <f t="shared" si="12"/>
        <v>14.999999999999947</v>
      </c>
      <c r="O95" s="5">
        <f t="shared" si="13"/>
        <v>1799.9999999999936</v>
      </c>
    </row>
    <row r="96" spans="1:15">
      <c r="A96" s="1">
        <v>43924</v>
      </c>
      <c r="B96" s="2">
        <v>0.56884259259259262</v>
      </c>
      <c r="C96" s="22">
        <v>0</v>
      </c>
      <c r="D96" s="22">
        <v>1.7450000000000001</v>
      </c>
      <c r="E96" s="22">
        <v>18.009</v>
      </c>
      <c r="F96" s="3">
        <f t="shared" si="7"/>
        <v>0.58387700000000009</v>
      </c>
      <c r="G96" s="12">
        <f t="shared" si="8"/>
        <v>173.56761768613578</v>
      </c>
      <c r="H96" s="22" t="s">
        <v>33</v>
      </c>
      <c r="I96" s="22">
        <f t="shared" si="9"/>
        <v>14.999999999999947</v>
      </c>
      <c r="J96" s="5">
        <f t="shared" si="10"/>
        <v>2603.5142652920272</v>
      </c>
      <c r="K96" s="22"/>
      <c r="L96" s="16">
        <f t="shared" si="11"/>
        <v>120</v>
      </c>
      <c r="M96" s="22" t="s">
        <v>33</v>
      </c>
      <c r="N96" s="22">
        <f t="shared" si="12"/>
        <v>14.999999999999947</v>
      </c>
      <c r="O96" s="5">
        <f t="shared" si="13"/>
        <v>1799.9999999999936</v>
      </c>
    </row>
    <row r="97" spans="1:15">
      <c r="A97" s="1">
        <v>43924</v>
      </c>
      <c r="B97" s="2">
        <v>0.57925925925925925</v>
      </c>
      <c r="C97" s="22">
        <v>0</v>
      </c>
      <c r="D97" s="22">
        <v>1.6890000000000001</v>
      </c>
      <c r="E97" s="22">
        <v>18.158999999999999</v>
      </c>
      <c r="F97" s="3">
        <f t="shared" si="7"/>
        <v>0.56513940000000007</v>
      </c>
      <c r="G97" s="12">
        <f t="shared" si="8"/>
        <v>159.5588824018343</v>
      </c>
      <c r="H97" s="22" t="s">
        <v>33</v>
      </c>
      <c r="I97" s="22">
        <f t="shared" si="9"/>
        <v>15.000000000000107</v>
      </c>
      <c r="J97" s="5">
        <f t="shared" si="10"/>
        <v>2393.3832360275314</v>
      </c>
      <c r="K97" s="22"/>
      <c r="L97" s="16">
        <f t="shared" si="11"/>
        <v>120</v>
      </c>
      <c r="M97" s="22" t="s">
        <v>33</v>
      </c>
      <c r="N97" s="22">
        <f t="shared" si="12"/>
        <v>15.000000000000107</v>
      </c>
      <c r="O97" s="5">
        <f t="shared" si="13"/>
        <v>1800.0000000000127</v>
      </c>
    </row>
    <row r="98" spans="1:15">
      <c r="A98" s="1">
        <v>43924</v>
      </c>
      <c r="B98" s="2">
        <v>0.58967592592592599</v>
      </c>
      <c r="C98" s="22">
        <v>0</v>
      </c>
      <c r="D98" s="22">
        <v>1.65</v>
      </c>
      <c r="E98" s="22">
        <v>18.196000000000002</v>
      </c>
      <c r="F98" s="3">
        <f t="shared" si="7"/>
        <v>0.55208999999999997</v>
      </c>
      <c r="G98" s="12">
        <f t="shared" si="8"/>
        <v>150.22598694641022</v>
      </c>
      <c r="H98" s="22" t="s">
        <v>33</v>
      </c>
      <c r="I98" s="22">
        <f t="shared" si="9"/>
        <v>14.999999999999947</v>
      </c>
      <c r="J98" s="5">
        <f t="shared" si="10"/>
        <v>2253.3898041961452</v>
      </c>
      <c r="K98" s="22"/>
      <c r="L98" s="16">
        <f t="shared" si="11"/>
        <v>120</v>
      </c>
      <c r="M98" s="22" t="s">
        <v>33</v>
      </c>
      <c r="N98" s="22">
        <f t="shared" si="12"/>
        <v>14.999999999999947</v>
      </c>
      <c r="O98" s="5">
        <f t="shared" si="13"/>
        <v>1799.9999999999936</v>
      </c>
    </row>
    <row r="99" spans="1:15">
      <c r="A99" s="1">
        <v>43924</v>
      </c>
      <c r="B99" s="2">
        <v>0.60009259259259262</v>
      </c>
      <c r="C99" s="22">
        <v>0</v>
      </c>
      <c r="D99" s="22">
        <v>1.6060000000000001</v>
      </c>
      <c r="E99" s="22">
        <v>18.111999999999998</v>
      </c>
      <c r="F99" s="3">
        <f t="shared" si="7"/>
        <v>0.53736760000000006</v>
      </c>
      <c r="G99" s="12">
        <f t="shared" si="8"/>
        <v>140.10704887208166</v>
      </c>
      <c r="H99" s="22" t="s">
        <v>33</v>
      </c>
      <c r="I99" s="22">
        <f t="shared" ref="I99" si="14">CONVERT((B100-B99),"day","mn")</f>
        <v>14.999999999999947</v>
      </c>
      <c r="J99" s="5">
        <f t="shared" ref="J99:J100" si="15">G99*I99</f>
        <v>2101.6057330812173</v>
      </c>
      <c r="K99" s="22"/>
      <c r="L99" s="16">
        <f t="shared" si="11"/>
        <v>120</v>
      </c>
      <c r="M99" s="22" t="s">
        <v>33</v>
      </c>
      <c r="N99" s="22">
        <f t="shared" si="12"/>
        <v>14.999999999999947</v>
      </c>
      <c r="O99" s="5">
        <f t="shared" si="13"/>
        <v>1799.9999999999936</v>
      </c>
    </row>
    <row r="100" spans="1:15">
      <c r="A100" s="1">
        <v>43924</v>
      </c>
      <c r="B100" s="2">
        <v>0.61050925925925925</v>
      </c>
      <c r="C100" s="22">
        <v>0</v>
      </c>
      <c r="D100" s="22">
        <v>1.736</v>
      </c>
      <c r="E100" s="22">
        <v>18.039000000000001</v>
      </c>
      <c r="F100" s="3">
        <f t="shared" si="7"/>
        <v>0.58086559999999998</v>
      </c>
      <c r="G100" s="12">
        <f t="shared" si="8"/>
        <v>171.26742556105555</v>
      </c>
      <c r="H100" s="22" t="s">
        <v>33</v>
      </c>
      <c r="I100" s="22">
        <v>15</v>
      </c>
      <c r="J100" s="5">
        <f t="shared" si="15"/>
        <v>2569.0113834158333</v>
      </c>
      <c r="K100" s="22"/>
      <c r="L100" s="16">
        <f t="shared" si="11"/>
        <v>120</v>
      </c>
      <c r="M100" s="22" t="s">
        <v>33</v>
      </c>
      <c r="N100" s="22">
        <v>15</v>
      </c>
      <c r="O100" s="5">
        <f t="shared" si="13"/>
        <v>1800</v>
      </c>
    </row>
  </sheetData>
  <sheetProtection sheet="1" objects="1" scenarios="1"/>
  <mergeCells count="1">
    <mergeCell ref="L1:P1"/>
  </mergeCells>
  <conditionalFormatting sqref="F3:F99">
    <cfRule type="cellIs" dxfId="5" priority="2" operator="lessThan">
      <formula>0.15</formula>
    </cfRule>
  </conditionalFormatting>
  <conditionalFormatting sqref="F100">
    <cfRule type="cellIs" dxfId="4" priority="1" operator="lessThan">
      <formula>0.15</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6CA2-ECA2-43BD-AC61-E83C57FD061C}">
  <sheetPr>
    <tabColor theme="5" tint="0.59999389629810485"/>
  </sheetPr>
  <dimension ref="A1:K98"/>
  <sheetViews>
    <sheetView workbookViewId="0">
      <selection activeCell="L1" sqref="L1"/>
    </sheetView>
  </sheetViews>
  <sheetFormatPr defaultRowHeight="15"/>
  <cols>
    <col min="1" max="1" width="8.42578125" bestFit="1" customWidth="1"/>
    <col min="2" max="2" width="11.28515625" bestFit="1" customWidth="1"/>
    <col min="3" max="3" width="3.42578125" bestFit="1" customWidth="1"/>
    <col min="4" max="4" width="5.85546875" bestFit="1" customWidth="1"/>
    <col min="5" max="5" width="13.28515625" bestFit="1" customWidth="1"/>
    <col min="6" max="6" width="8.85546875" bestFit="1" customWidth="1"/>
    <col min="7" max="7" width="10.7109375" bestFit="1" customWidth="1"/>
    <col min="8" max="8" width="10.140625" bestFit="1" customWidth="1"/>
    <col min="9" max="9" width="12.42578125" bestFit="1" customWidth="1"/>
    <col min="10" max="10" width="11.85546875" bestFit="1" customWidth="1"/>
  </cols>
  <sheetData>
    <row r="1" spans="1:11">
      <c r="A1" s="22" t="s">
        <v>244</v>
      </c>
      <c r="B1" s="22" t="s">
        <v>245</v>
      </c>
      <c r="C1" s="22" t="s">
        <v>622</v>
      </c>
      <c r="D1" s="22" t="s">
        <v>645</v>
      </c>
      <c r="E1" s="22" t="s">
        <v>624</v>
      </c>
      <c r="F1" s="22" t="s">
        <v>625</v>
      </c>
      <c r="G1" s="22" t="s">
        <v>626</v>
      </c>
      <c r="H1" s="22" t="s">
        <v>117</v>
      </c>
      <c r="I1" s="22" t="s">
        <v>627</v>
      </c>
      <c r="J1" s="22" t="s">
        <v>628</v>
      </c>
      <c r="K1" s="22" t="s">
        <v>634</v>
      </c>
    </row>
    <row r="2" spans="1:11">
      <c r="A2" s="1">
        <v>43923</v>
      </c>
      <c r="B2" s="2">
        <v>0.61458333333333337</v>
      </c>
      <c r="C2" s="22">
        <v>0</v>
      </c>
      <c r="D2" s="22">
        <v>3.03</v>
      </c>
      <c r="E2" s="22">
        <v>16.974</v>
      </c>
      <c r="F2" s="3">
        <f t="shared" ref="F2:F65" si="0">D2*0.3346</f>
        <v>1.013838</v>
      </c>
      <c r="G2" s="4">
        <f t="shared" ref="G2:G65" si="1">695.6*(F2^2.63)</f>
        <v>721.20196214451403</v>
      </c>
      <c r="H2" s="22" t="s">
        <v>35</v>
      </c>
      <c r="I2" s="22">
        <f>CONVERT((B3-B2),"day","mn")</f>
        <v>14.999999999999947</v>
      </c>
      <c r="J2" s="5">
        <f>G2*I2</f>
        <v>10818.029432167672</v>
      </c>
      <c r="K2" s="5">
        <f>SUM(J2:J98)</f>
        <v>932407.77933152602</v>
      </c>
    </row>
    <row r="3" spans="1:11">
      <c r="A3" s="1">
        <v>43923</v>
      </c>
      <c r="B3" s="2">
        <v>0.625</v>
      </c>
      <c r="C3" s="22">
        <v>0</v>
      </c>
      <c r="D3" s="22">
        <v>2.9990000000000001</v>
      </c>
      <c r="E3" s="22">
        <v>17.055</v>
      </c>
      <c r="F3" s="3">
        <f t="shared" si="0"/>
        <v>1.0034654000000001</v>
      </c>
      <c r="G3" s="4">
        <f t="shared" si="1"/>
        <v>701.95761803772507</v>
      </c>
      <c r="H3" s="22" t="s">
        <v>35</v>
      </c>
      <c r="I3" s="22">
        <f t="shared" ref="I3:I66" si="2">CONVERT((B4-B3),"day","mn")</f>
        <v>14.999999999999947</v>
      </c>
      <c r="J3" s="5">
        <f t="shared" ref="J3:J66" si="3">G3*I3</f>
        <v>10529.364270565839</v>
      </c>
      <c r="K3" s="22"/>
    </row>
    <row r="4" spans="1:11">
      <c r="A4" s="1">
        <v>43923</v>
      </c>
      <c r="B4" s="2">
        <v>0.63541666666666663</v>
      </c>
      <c r="C4" s="22">
        <v>0</v>
      </c>
      <c r="D4" s="22">
        <v>2.9670000000000001</v>
      </c>
      <c r="E4" s="22">
        <v>17.114000000000001</v>
      </c>
      <c r="F4" s="3">
        <f t="shared" si="0"/>
        <v>0.99275820000000004</v>
      </c>
      <c r="G4" s="4">
        <f t="shared" si="1"/>
        <v>682.42972197542554</v>
      </c>
      <c r="H4" s="22" t="s">
        <v>35</v>
      </c>
      <c r="I4" s="22">
        <f t="shared" si="2"/>
        <v>15.000000000000107</v>
      </c>
      <c r="J4" s="5">
        <f t="shared" si="3"/>
        <v>10236.445829631455</v>
      </c>
      <c r="K4" s="22"/>
    </row>
    <row r="5" spans="1:11">
      <c r="A5" s="1">
        <v>43923</v>
      </c>
      <c r="B5" s="2">
        <v>0.64583333333333337</v>
      </c>
      <c r="C5" s="22">
        <v>0</v>
      </c>
      <c r="D5" s="22">
        <v>2.9710000000000001</v>
      </c>
      <c r="E5" s="22">
        <v>17.164999999999999</v>
      </c>
      <c r="F5" s="3">
        <f t="shared" si="0"/>
        <v>0.99409660000000011</v>
      </c>
      <c r="G5" s="4">
        <f t="shared" si="1"/>
        <v>684.85205127509107</v>
      </c>
      <c r="H5" s="22" t="s">
        <v>35</v>
      </c>
      <c r="I5" s="22">
        <f t="shared" si="2"/>
        <v>14.999999999999947</v>
      </c>
      <c r="J5" s="5">
        <f t="shared" si="3"/>
        <v>10272.78076912633</v>
      </c>
      <c r="K5" s="22"/>
    </row>
    <row r="6" spans="1:11">
      <c r="A6" s="1">
        <v>43923</v>
      </c>
      <c r="B6" s="2">
        <v>0.65625</v>
      </c>
      <c r="C6" s="22">
        <v>0</v>
      </c>
      <c r="D6" s="22">
        <v>2.968</v>
      </c>
      <c r="E6" s="22">
        <v>17.193000000000001</v>
      </c>
      <c r="F6" s="3">
        <f t="shared" si="0"/>
        <v>0.9930928</v>
      </c>
      <c r="G6" s="4">
        <f t="shared" si="1"/>
        <v>683.03480563280209</v>
      </c>
      <c r="H6" s="22" t="s">
        <v>35</v>
      </c>
      <c r="I6" s="22">
        <f t="shared" si="2"/>
        <v>14.999999999999947</v>
      </c>
      <c r="J6" s="5">
        <f t="shared" si="3"/>
        <v>10245.522084491995</v>
      </c>
      <c r="K6" s="22"/>
    </row>
    <row r="7" spans="1:11">
      <c r="A7" s="1">
        <v>43923</v>
      </c>
      <c r="B7" s="2">
        <v>0.66666666666666663</v>
      </c>
      <c r="C7" s="22">
        <v>0</v>
      </c>
      <c r="D7" s="22">
        <v>2.9510000000000001</v>
      </c>
      <c r="E7" s="22">
        <v>17.21</v>
      </c>
      <c r="F7" s="3">
        <f t="shared" si="0"/>
        <v>0.98740460000000008</v>
      </c>
      <c r="G7" s="4">
        <f t="shared" si="1"/>
        <v>672.79353198011529</v>
      </c>
      <c r="H7" s="22" t="s">
        <v>35</v>
      </c>
      <c r="I7" s="22">
        <f t="shared" si="2"/>
        <v>15.000000000000107</v>
      </c>
      <c r="J7" s="5">
        <f t="shared" si="3"/>
        <v>10091.902979701801</v>
      </c>
      <c r="K7" s="22"/>
    </row>
    <row r="8" spans="1:11">
      <c r="A8" s="1">
        <v>43923</v>
      </c>
      <c r="B8" s="2">
        <v>0.67708333333333337</v>
      </c>
      <c r="C8" s="22">
        <v>0</v>
      </c>
      <c r="D8" s="22">
        <v>2.9249999999999998</v>
      </c>
      <c r="E8" s="22">
        <v>17.186</v>
      </c>
      <c r="F8" s="3">
        <f t="shared" si="0"/>
        <v>0.97870499999999994</v>
      </c>
      <c r="G8" s="4">
        <f t="shared" si="1"/>
        <v>657.31542805038725</v>
      </c>
      <c r="H8" s="22" t="s">
        <v>35</v>
      </c>
      <c r="I8" s="22">
        <f t="shared" si="2"/>
        <v>14.999999999999947</v>
      </c>
      <c r="J8" s="5">
        <f t="shared" si="3"/>
        <v>9859.7314207557738</v>
      </c>
      <c r="K8" s="22"/>
    </row>
    <row r="9" spans="1:11">
      <c r="A9" s="1">
        <v>43923</v>
      </c>
      <c r="B9" s="2">
        <v>0.6875</v>
      </c>
      <c r="C9" s="22">
        <v>0</v>
      </c>
      <c r="D9" s="22">
        <v>2.94</v>
      </c>
      <c r="E9" s="22">
        <v>17.134</v>
      </c>
      <c r="F9" s="3">
        <f t="shared" si="0"/>
        <v>0.98372400000000004</v>
      </c>
      <c r="G9" s="4">
        <f t="shared" si="1"/>
        <v>666.21785162994263</v>
      </c>
      <c r="H9" s="22" t="s">
        <v>35</v>
      </c>
      <c r="I9" s="22">
        <f t="shared" si="2"/>
        <v>14.999999999999947</v>
      </c>
      <c r="J9" s="5">
        <f t="shared" si="3"/>
        <v>9993.2677744491048</v>
      </c>
      <c r="K9" s="22"/>
    </row>
    <row r="10" spans="1:11">
      <c r="A10" s="1">
        <v>43923</v>
      </c>
      <c r="B10" s="2">
        <v>0.69791666666666663</v>
      </c>
      <c r="C10" s="22">
        <v>0</v>
      </c>
      <c r="D10" s="22">
        <v>2.9380000000000002</v>
      </c>
      <c r="E10" s="22">
        <v>17.059000000000001</v>
      </c>
      <c r="F10" s="3">
        <f t="shared" si="0"/>
        <v>0.98305480000000012</v>
      </c>
      <c r="G10" s="4">
        <f t="shared" si="1"/>
        <v>665.02657159128023</v>
      </c>
      <c r="H10" s="22" t="s">
        <v>35</v>
      </c>
      <c r="I10" s="22">
        <f t="shared" si="2"/>
        <v>15.000000000000107</v>
      </c>
      <c r="J10" s="5">
        <f t="shared" si="3"/>
        <v>9975.3985738692736</v>
      </c>
      <c r="K10" s="22"/>
    </row>
    <row r="11" spans="1:11">
      <c r="A11" s="1">
        <v>43923</v>
      </c>
      <c r="B11" s="2">
        <v>0.70833333333333337</v>
      </c>
      <c r="C11" s="22">
        <v>0</v>
      </c>
      <c r="D11" s="22">
        <v>2.9340000000000002</v>
      </c>
      <c r="E11" s="22">
        <v>16.962</v>
      </c>
      <c r="F11" s="3">
        <f t="shared" si="0"/>
        <v>0.98171640000000004</v>
      </c>
      <c r="G11" s="4">
        <f t="shared" si="1"/>
        <v>662.64797427526128</v>
      </c>
      <c r="H11" s="22" t="s">
        <v>35</v>
      </c>
      <c r="I11" s="22">
        <f t="shared" si="2"/>
        <v>14.999999999999947</v>
      </c>
      <c r="J11" s="5">
        <f t="shared" si="3"/>
        <v>9939.7196141288841</v>
      </c>
      <c r="K11" s="22"/>
    </row>
    <row r="12" spans="1:11">
      <c r="A12" s="1">
        <v>43923</v>
      </c>
      <c r="B12" s="2">
        <v>0.71875</v>
      </c>
      <c r="C12" s="22">
        <v>0</v>
      </c>
      <c r="D12" s="22">
        <v>2.9460000000000002</v>
      </c>
      <c r="E12" s="22">
        <v>16.837</v>
      </c>
      <c r="F12" s="3">
        <f t="shared" si="0"/>
        <v>0.98573160000000004</v>
      </c>
      <c r="G12" s="4">
        <f t="shared" si="1"/>
        <v>669.79962406616141</v>
      </c>
      <c r="H12" s="22" t="s">
        <v>35</v>
      </c>
      <c r="I12" s="22">
        <f t="shared" si="2"/>
        <v>14.999999999999947</v>
      </c>
      <c r="J12" s="5">
        <f t="shared" si="3"/>
        <v>10046.994360992385</v>
      </c>
      <c r="K12" s="22"/>
    </row>
    <row r="13" spans="1:11">
      <c r="A13" s="1">
        <v>43923</v>
      </c>
      <c r="B13" s="2">
        <v>0.72916666666666663</v>
      </c>
      <c r="C13" s="22">
        <v>0</v>
      </c>
      <c r="D13" s="22">
        <v>2.9020000000000001</v>
      </c>
      <c r="E13" s="22">
        <v>16.690999999999999</v>
      </c>
      <c r="F13" s="3">
        <f t="shared" si="0"/>
        <v>0.97100920000000002</v>
      </c>
      <c r="G13" s="4">
        <f t="shared" si="1"/>
        <v>643.80889095298426</v>
      </c>
      <c r="H13" s="22" t="s">
        <v>35</v>
      </c>
      <c r="I13" s="22">
        <f t="shared" si="2"/>
        <v>15.000000000000107</v>
      </c>
      <c r="J13" s="5">
        <f t="shared" si="3"/>
        <v>9657.1333642948321</v>
      </c>
      <c r="K13" s="22"/>
    </row>
    <row r="14" spans="1:11">
      <c r="A14" s="1">
        <v>43923</v>
      </c>
      <c r="B14" s="2">
        <v>0.73958333333333337</v>
      </c>
      <c r="C14" s="22">
        <v>0</v>
      </c>
      <c r="D14" s="22">
        <v>2.8980000000000001</v>
      </c>
      <c r="E14" s="22">
        <v>16.555</v>
      </c>
      <c r="F14" s="3">
        <f t="shared" si="0"/>
        <v>0.96967080000000005</v>
      </c>
      <c r="G14" s="4">
        <f t="shared" si="1"/>
        <v>641.4776492772362</v>
      </c>
      <c r="H14" s="22" t="s">
        <v>35</v>
      </c>
      <c r="I14" s="22">
        <f t="shared" si="2"/>
        <v>14.999999999999947</v>
      </c>
      <c r="J14" s="5">
        <f t="shared" si="3"/>
        <v>9622.1647391585084</v>
      </c>
      <c r="K14" s="22"/>
    </row>
    <row r="15" spans="1:11">
      <c r="A15" s="1">
        <v>43923</v>
      </c>
      <c r="B15" s="2">
        <v>0.75</v>
      </c>
      <c r="C15" s="22">
        <v>0</v>
      </c>
      <c r="D15" s="22">
        <v>2.903</v>
      </c>
      <c r="E15" s="22">
        <v>16.425999999999998</v>
      </c>
      <c r="F15" s="3">
        <f t="shared" si="0"/>
        <v>0.97134379999999998</v>
      </c>
      <c r="G15" s="4">
        <f t="shared" si="1"/>
        <v>644.39252049886272</v>
      </c>
      <c r="H15" s="22" t="s">
        <v>35</v>
      </c>
      <c r="I15" s="22">
        <f t="shared" si="2"/>
        <v>14.999999999999947</v>
      </c>
      <c r="J15" s="5">
        <f t="shared" si="3"/>
        <v>9665.8878074829063</v>
      </c>
      <c r="K15" s="22"/>
    </row>
    <row r="16" spans="1:11">
      <c r="A16" s="1">
        <v>43923</v>
      </c>
      <c r="B16" s="2">
        <v>0.76041666666666663</v>
      </c>
      <c r="C16" s="22">
        <v>0</v>
      </c>
      <c r="D16" s="22">
        <v>2.9089999999999998</v>
      </c>
      <c r="E16" s="22">
        <v>16.297999999999998</v>
      </c>
      <c r="F16" s="3">
        <f t="shared" si="0"/>
        <v>0.97335139999999998</v>
      </c>
      <c r="G16" s="4">
        <f t="shared" si="1"/>
        <v>647.90118391796409</v>
      </c>
      <c r="H16" s="22" t="s">
        <v>35</v>
      </c>
      <c r="I16" s="22">
        <f t="shared" si="2"/>
        <v>15.000000000000107</v>
      </c>
      <c r="J16" s="5">
        <f t="shared" si="3"/>
        <v>9718.5177587695307</v>
      </c>
      <c r="K16" s="22"/>
    </row>
    <row r="17" spans="1:10">
      <c r="A17" s="1">
        <v>43923</v>
      </c>
      <c r="B17" s="2">
        <v>0.77083333333333337</v>
      </c>
      <c r="C17" s="22">
        <v>0</v>
      </c>
      <c r="D17" s="22">
        <v>2.8490000000000002</v>
      </c>
      <c r="E17" s="22">
        <v>16.169</v>
      </c>
      <c r="F17" s="3">
        <f t="shared" si="0"/>
        <v>0.95327540000000011</v>
      </c>
      <c r="G17" s="4">
        <f t="shared" si="1"/>
        <v>613.34372741110019</v>
      </c>
      <c r="H17" s="22" t="s">
        <v>35</v>
      </c>
      <c r="I17" s="22">
        <f t="shared" si="2"/>
        <v>14.999999999999947</v>
      </c>
      <c r="J17" s="5">
        <f t="shared" si="3"/>
        <v>9200.1559111664701</v>
      </c>
    </row>
    <row r="18" spans="1:10">
      <c r="A18" s="1">
        <v>43923</v>
      </c>
      <c r="B18" s="2">
        <v>0.78125</v>
      </c>
      <c r="C18" s="22">
        <v>0</v>
      </c>
      <c r="D18" s="22">
        <v>2.8679999999999999</v>
      </c>
      <c r="E18" s="22">
        <v>16.056999999999999</v>
      </c>
      <c r="F18" s="3">
        <f t="shared" si="0"/>
        <v>0.95963279999999995</v>
      </c>
      <c r="G18" s="4">
        <f t="shared" si="1"/>
        <v>624.1600147874226</v>
      </c>
      <c r="H18" s="22" t="s">
        <v>35</v>
      </c>
      <c r="I18" s="22">
        <f t="shared" si="2"/>
        <v>14.999999999999947</v>
      </c>
      <c r="J18" s="5">
        <f t="shared" si="3"/>
        <v>9362.4002218113055</v>
      </c>
    </row>
    <row r="19" spans="1:10">
      <c r="A19" s="1">
        <v>43923</v>
      </c>
      <c r="B19" s="2">
        <v>0.79166666666666663</v>
      </c>
      <c r="C19" s="22">
        <v>0</v>
      </c>
      <c r="D19" s="22">
        <v>2.8969999999999998</v>
      </c>
      <c r="E19" s="22">
        <v>15.939</v>
      </c>
      <c r="F19" s="3">
        <f t="shared" si="0"/>
        <v>0.96933619999999998</v>
      </c>
      <c r="G19" s="4">
        <f t="shared" si="1"/>
        <v>640.89565762942129</v>
      </c>
      <c r="H19" s="22" t="s">
        <v>35</v>
      </c>
      <c r="I19" s="22">
        <f t="shared" si="2"/>
        <v>15.000000000000107</v>
      </c>
      <c r="J19" s="5">
        <f t="shared" si="3"/>
        <v>9613.4348644413876</v>
      </c>
    </row>
    <row r="20" spans="1:10">
      <c r="A20" s="1">
        <v>43923</v>
      </c>
      <c r="B20" s="2">
        <v>0.80208333333333337</v>
      </c>
      <c r="C20" s="22">
        <v>0</v>
      </c>
      <c r="D20" s="22">
        <v>2.91</v>
      </c>
      <c r="E20" s="22">
        <v>15.826000000000001</v>
      </c>
      <c r="F20" s="3">
        <f t="shared" si="0"/>
        <v>0.97368600000000005</v>
      </c>
      <c r="G20" s="4">
        <f t="shared" si="1"/>
        <v>648.48710950880763</v>
      </c>
      <c r="H20" s="22" t="s">
        <v>35</v>
      </c>
      <c r="I20" s="22">
        <f t="shared" si="2"/>
        <v>14.999999999999947</v>
      </c>
      <c r="J20" s="5">
        <f t="shared" si="3"/>
        <v>9727.3066426320802</v>
      </c>
    </row>
    <row r="21" spans="1:10">
      <c r="A21" s="1">
        <v>43923</v>
      </c>
      <c r="B21" s="2">
        <v>0.8125</v>
      </c>
      <c r="C21" s="22">
        <v>0</v>
      </c>
      <c r="D21" s="22">
        <v>2.8130000000000002</v>
      </c>
      <c r="E21" s="22">
        <v>15.722</v>
      </c>
      <c r="F21" s="3">
        <f t="shared" si="0"/>
        <v>0.94122980000000012</v>
      </c>
      <c r="G21" s="4">
        <f t="shared" si="1"/>
        <v>593.17000559577059</v>
      </c>
      <c r="H21" s="22" t="s">
        <v>35</v>
      </c>
      <c r="I21" s="22">
        <f t="shared" si="2"/>
        <v>14.999999999999947</v>
      </c>
      <c r="J21" s="5">
        <f t="shared" si="3"/>
        <v>8897.5500839365268</v>
      </c>
    </row>
    <row r="22" spans="1:10">
      <c r="A22" s="1">
        <v>43923</v>
      </c>
      <c r="B22" s="2">
        <v>0.82291666666666663</v>
      </c>
      <c r="C22" s="22">
        <v>0</v>
      </c>
      <c r="D22" s="22">
        <v>2.8140000000000001</v>
      </c>
      <c r="E22" s="22">
        <v>15.597</v>
      </c>
      <c r="F22" s="3">
        <f t="shared" si="0"/>
        <v>0.94156440000000008</v>
      </c>
      <c r="G22" s="4">
        <f t="shared" si="1"/>
        <v>593.72474755531323</v>
      </c>
      <c r="H22" s="22" t="s">
        <v>35</v>
      </c>
      <c r="I22" s="22">
        <f t="shared" si="2"/>
        <v>15.000000000000107</v>
      </c>
      <c r="J22" s="5">
        <f t="shared" si="3"/>
        <v>8905.8712133297613</v>
      </c>
    </row>
    <row r="23" spans="1:10">
      <c r="A23" s="1">
        <v>43923</v>
      </c>
      <c r="B23" s="2">
        <v>0.83333333333333337</v>
      </c>
      <c r="C23" s="22">
        <v>0</v>
      </c>
      <c r="D23" s="22">
        <v>2.8250000000000002</v>
      </c>
      <c r="E23" s="22">
        <v>15.462999999999999</v>
      </c>
      <c r="F23" s="3">
        <f t="shared" si="0"/>
        <v>0.94524500000000011</v>
      </c>
      <c r="G23" s="4">
        <f t="shared" si="1"/>
        <v>599.84813901843154</v>
      </c>
      <c r="H23" s="22" t="s">
        <v>35</v>
      </c>
      <c r="I23" s="22">
        <f t="shared" si="2"/>
        <v>14.999999999999947</v>
      </c>
      <c r="J23" s="5">
        <f t="shared" si="3"/>
        <v>8997.7220852764403</v>
      </c>
    </row>
    <row r="24" spans="1:10">
      <c r="A24" s="1">
        <v>43923</v>
      </c>
      <c r="B24" s="2">
        <v>0.84375</v>
      </c>
      <c r="C24" s="22">
        <v>0</v>
      </c>
      <c r="D24" s="22">
        <v>2.8450000000000002</v>
      </c>
      <c r="E24" s="22">
        <v>15.339</v>
      </c>
      <c r="F24" s="3">
        <f t="shared" si="0"/>
        <v>0.95193700000000014</v>
      </c>
      <c r="G24" s="4">
        <f t="shared" si="1"/>
        <v>611.08153190869439</v>
      </c>
      <c r="H24" s="22" t="s">
        <v>35</v>
      </c>
      <c r="I24" s="22">
        <f t="shared" si="2"/>
        <v>14.999999999999947</v>
      </c>
      <c r="J24" s="5">
        <f t="shared" si="3"/>
        <v>9166.2229786303833</v>
      </c>
    </row>
    <row r="25" spans="1:10">
      <c r="A25" s="1">
        <v>43923</v>
      </c>
      <c r="B25" s="2">
        <v>0.85416666666666663</v>
      </c>
      <c r="C25" s="22">
        <v>0</v>
      </c>
      <c r="D25" s="22">
        <v>2.8250000000000002</v>
      </c>
      <c r="E25" s="22">
        <v>15.212999999999999</v>
      </c>
      <c r="F25" s="3">
        <f t="shared" si="0"/>
        <v>0.94524500000000011</v>
      </c>
      <c r="G25" s="4">
        <f t="shared" si="1"/>
        <v>599.84813901843154</v>
      </c>
      <c r="H25" s="22" t="s">
        <v>35</v>
      </c>
      <c r="I25" s="22">
        <f t="shared" si="2"/>
        <v>15.000000000000107</v>
      </c>
      <c r="J25" s="5">
        <f t="shared" si="3"/>
        <v>8997.7220852765367</v>
      </c>
    </row>
    <row r="26" spans="1:10">
      <c r="A26" s="1">
        <v>43923</v>
      </c>
      <c r="B26" s="2">
        <v>0.86458333333333337</v>
      </c>
      <c r="C26" s="22">
        <v>0</v>
      </c>
      <c r="D26" s="22">
        <v>2.8570000000000002</v>
      </c>
      <c r="E26" s="22">
        <v>15.086</v>
      </c>
      <c r="F26" s="3">
        <f t="shared" si="0"/>
        <v>0.95595220000000014</v>
      </c>
      <c r="G26" s="4">
        <f t="shared" si="1"/>
        <v>617.88367204001304</v>
      </c>
      <c r="H26" s="22" t="s">
        <v>35</v>
      </c>
      <c r="I26" s="22">
        <f t="shared" si="2"/>
        <v>14.999999999999947</v>
      </c>
      <c r="J26" s="5">
        <f t="shared" si="3"/>
        <v>9268.2550806001618</v>
      </c>
    </row>
    <row r="27" spans="1:10">
      <c r="A27" s="1">
        <v>43923</v>
      </c>
      <c r="B27" s="2">
        <v>0.875</v>
      </c>
      <c r="C27" s="22">
        <v>0</v>
      </c>
      <c r="D27" s="22">
        <v>2.8879999999999999</v>
      </c>
      <c r="E27" s="22">
        <v>14.961</v>
      </c>
      <c r="F27" s="3">
        <f t="shared" si="0"/>
        <v>0.96632479999999998</v>
      </c>
      <c r="G27" s="4">
        <f t="shared" si="1"/>
        <v>635.67245572772242</v>
      </c>
      <c r="H27" s="22" t="s">
        <v>35</v>
      </c>
      <c r="I27" s="22">
        <f t="shared" si="2"/>
        <v>14.999999999999947</v>
      </c>
      <c r="J27" s="5">
        <f t="shared" si="3"/>
        <v>9535.086835915803</v>
      </c>
    </row>
    <row r="28" spans="1:10">
      <c r="A28" s="1">
        <v>43923</v>
      </c>
      <c r="B28" s="2">
        <v>0.88541666666666663</v>
      </c>
      <c r="C28" s="22">
        <v>0</v>
      </c>
      <c r="D28" s="22">
        <v>2.9049999999999998</v>
      </c>
      <c r="E28" s="22">
        <v>14.836</v>
      </c>
      <c r="F28" s="3">
        <f t="shared" si="0"/>
        <v>0.9720129999999999</v>
      </c>
      <c r="G28" s="4">
        <f t="shared" si="1"/>
        <v>645.5607630409695</v>
      </c>
      <c r="H28" s="22" t="s">
        <v>35</v>
      </c>
      <c r="I28" s="22">
        <f t="shared" si="2"/>
        <v>15.000000000000107</v>
      </c>
      <c r="J28" s="5">
        <f t="shared" si="3"/>
        <v>9683.4114456146108</v>
      </c>
    </row>
    <row r="29" spans="1:10">
      <c r="A29" s="1">
        <v>43923</v>
      </c>
      <c r="B29" s="2">
        <v>0.89583333333333337</v>
      </c>
      <c r="C29" s="22">
        <v>0</v>
      </c>
      <c r="D29" s="22">
        <v>2.8420000000000001</v>
      </c>
      <c r="E29" s="22">
        <v>14.707000000000001</v>
      </c>
      <c r="F29" s="3">
        <f t="shared" si="0"/>
        <v>0.95093320000000003</v>
      </c>
      <c r="G29" s="4">
        <f t="shared" si="1"/>
        <v>609.38828387608532</v>
      </c>
      <c r="H29" s="22" t="s">
        <v>35</v>
      </c>
      <c r="I29" s="22">
        <f t="shared" si="2"/>
        <v>14.999999999999947</v>
      </c>
      <c r="J29" s="5">
        <f t="shared" si="3"/>
        <v>9140.8242581412469</v>
      </c>
    </row>
    <row r="30" spans="1:10">
      <c r="A30" s="1">
        <v>43923</v>
      </c>
      <c r="B30" s="2">
        <v>0.90625</v>
      </c>
      <c r="C30" s="22">
        <v>0</v>
      </c>
      <c r="D30" s="22">
        <v>2.851</v>
      </c>
      <c r="E30" s="22">
        <v>14.583</v>
      </c>
      <c r="F30" s="3">
        <f t="shared" si="0"/>
        <v>0.95394460000000003</v>
      </c>
      <c r="G30" s="4">
        <f t="shared" si="1"/>
        <v>614.47676850589221</v>
      </c>
      <c r="H30" s="22" t="s">
        <v>35</v>
      </c>
      <c r="I30" s="22">
        <f t="shared" si="2"/>
        <v>14.999999999999947</v>
      </c>
      <c r="J30" s="5">
        <f t="shared" si="3"/>
        <v>9217.1515275883503</v>
      </c>
    </row>
    <row r="31" spans="1:10">
      <c r="A31" s="1">
        <v>43923</v>
      </c>
      <c r="B31" s="2">
        <v>0.91666666666666663</v>
      </c>
      <c r="C31" s="22">
        <v>0</v>
      </c>
      <c r="D31" s="22">
        <v>2.8519999999999999</v>
      </c>
      <c r="E31" s="22">
        <v>14.464</v>
      </c>
      <c r="F31" s="3">
        <f t="shared" si="0"/>
        <v>0.95427919999999999</v>
      </c>
      <c r="G31" s="4">
        <f t="shared" si="1"/>
        <v>615.04377513989118</v>
      </c>
      <c r="H31" s="22" t="s">
        <v>35</v>
      </c>
      <c r="I31" s="22">
        <f t="shared" si="2"/>
        <v>15.000000000000107</v>
      </c>
      <c r="J31" s="5">
        <f t="shared" si="3"/>
        <v>9225.6566270984331</v>
      </c>
    </row>
    <row r="32" spans="1:10">
      <c r="A32" s="1">
        <v>43923</v>
      </c>
      <c r="B32" s="2">
        <v>0.92708333333333337</v>
      </c>
      <c r="C32" s="22">
        <v>0</v>
      </c>
      <c r="D32" s="22">
        <v>2.8719999999999999</v>
      </c>
      <c r="E32" s="22">
        <v>14.361000000000001</v>
      </c>
      <c r="F32" s="3">
        <f t="shared" si="0"/>
        <v>0.96097120000000003</v>
      </c>
      <c r="G32" s="4">
        <f t="shared" si="1"/>
        <v>626.45207516813218</v>
      </c>
      <c r="H32" s="22" t="s">
        <v>35</v>
      </c>
      <c r="I32" s="22">
        <f t="shared" si="2"/>
        <v>14.999999999999947</v>
      </c>
      <c r="J32" s="5">
        <f t="shared" si="3"/>
        <v>9396.7811275219501</v>
      </c>
    </row>
    <row r="33" spans="1:10">
      <c r="A33" s="1">
        <v>43923</v>
      </c>
      <c r="B33" s="2">
        <v>0.9375</v>
      </c>
      <c r="C33" s="22">
        <v>0</v>
      </c>
      <c r="D33" s="22">
        <v>2.8130000000000002</v>
      </c>
      <c r="E33" s="22">
        <v>14.289</v>
      </c>
      <c r="F33" s="3">
        <f t="shared" si="0"/>
        <v>0.94122980000000012</v>
      </c>
      <c r="G33" s="4">
        <f t="shared" si="1"/>
        <v>593.17000559577059</v>
      </c>
      <c r="H33" s="22" t="s">
        <v>35</v>
      </c>
      <c r="I33" s="22">
        <f t="shared" si="2"/>
        <v>14.999999999999947</v>
      </c>
      <c r="J33" s="5">
        <f t="shared" si="3"/>
        <v>8897.5500839365268</v>
      </c>
    </row>
    <row r="34" spans="1:10">
      <c r="A34" s="1">
        <v>43923</v>
      </c>
      <c r="B34" s="2">
        <v>0.94791666666666663</v>
      </c>
      <c r="C34" s="22">
        <v>0</v>
      </c>
      <c r="D34" s="22">
        <v>2.8479999999999999</v>
      </c>
      <c r="E34" s="22">
        <v>14.166</v>
      </c>
      <c r="F34" s="3">
        <f t="shared" si="0"/>
        <v>0.95294080000000003</v>
      </c>
      <c r="G34" s="4">
        <f t="shared" si="1"/>
        <v>612.77769280706059</v>
      </c>
      <c r="H34" s="22" t="s">
        <v>35</v>
      </c>
      <c r="I34" s="22">
        <f t="shared" si="2"/>
        <v>15.000000000000107</v>
      </c>
      <c r="J34" s="5">
        <f t="shared" si="3"/>
        <v>9191.6653921059733</v>
      </c>
    </row>
    <row r="35" spans="1:10">
      <c r="A35" s="1">
        <v>43923</v>
      </c>
      <c r="B35" s="2">
        <v>0.95833333333333337</v>
      </c>
      <c r="C35" s="22">
        <v>0</v>
      </c>
      <c r="D35" s="22">
        <v>2.8530000000000002</v>
      </c>
      <c r="E35" s="22">
        <v>14.06</v>
      </c>
      <c r="F35" s="3">
        <f t="shared" si="0"/>
        <v>0.95461380000000007</v>
      </c>
      <c r="G35" s="4">
        <f t="shared" si="1"/>
        <v>615.61110592710816</v>
      </c>
      <c r="H35" s="22" t="s">
        <v>35</v>
      </c>
      <c r="I35" s="22">
        <f t="shared" si="2"/>
        <v>14.999999999999947</v>
      </c>
      <c r="J35" s="5">
        <f t="shared" si="3"/>
        <v>9234.1665889065898</v>
      </c>
    </row>
    <row r="36" spans="1:10">
      <c r="A36" s="1">
        <v>43923</v>
      </c>
      <c r="B36" s="2">
        <v>0.96875</v>
      </c>
      <c r="C36" s="22">
        <v>0</v>
      </c>
      <c r="D36" s="22">
        <v>2.8540000000000001</v>
      </c>
      <c r="E36" s="22">
        <v>13.956</v>
      </c>
      <c r="F36" s="3">
        <f t="shared" si="0"/>
        <v>0.95494840000000003</v>
      </c>
      <c r="G36" s="4">
        <f t="shared" si="1"/>
        <v>616.17876093914253</v>
      </c>
      <c r="H36" s="22" t="s">
        <v>35</v>
      </c>
      <c r="I36" s="22">
        <f t="shared" si="2"/>
        <v>14.999999999999947</v>
      </c>
      <c r="J36" s="5">
        <f t="shared" si="3"/>
        <v>9242.6814140871047</v>
      </c>
    </row>
    <row r="37" spans="1:10">
      <c r="A37" s="1">
        <v>43923</v>
      </c>
      <c r="B37" s="2">
        <v>0.97916666666666663</v>
      </c>
      <c r="C37" s="22">
        <v>0</v>
      </c>
      <c r="D37" s="22">
        <v>2.85</v>
      </c>
      <c r="E37" s="22">
        <v>13.846</v>
      </c>
      <c r="F37" s="3">
        <f t="shared" si="0"/>
        <v>0.95361000000000007</v>
      </c>
      <c r="G37" s="4">
        <f t="shared" si="1"/>
        <v>613.91008595350127</v>
      </c>
      <c r="H37" s="22" t="s">
        <v>35</v>
      </c>
      <c r="I37" s="22">
        <f t="shared" si="2"/>
        <v>15.000000000000107</v>
      </c>
      <c r="J37" s="5">
        <f t="shared" si="3"/>
        <v>9208.6512893025847</v>
      </c>
    </row>
    <row r="38" spans="1:10">
      <c r="A38" s="1">
        <v>43923</v>
      </c>
      <c r="B38" s="2">
        <v>0.98958333333333337</v>
      </c>
      <c r="C38" s="22">
        <v>0</v>
      </c>
      <c r="D38" s="22">
        <v>2.8610000000000002</v>
      </c>
      <c r="E38" s="22">
        <v>13.743</v>
      </c>
      <c r="F38" s="3">
        <f t="shared" si="0"/>
        <v>0.9572906000000001</v>
      </c>
      <c r="G38" s="4">
        <f t="shared" si="1"/>
        <v>620.16143033073149</v>
      </c>
      <c r="H38" s="22" t="s">
        <v>35</v>
      </c>
      <c r="I38" s="22">
        <v>15</v>
      </c>
      <c r="J38" s="5">
        <f t="shared" si="3"/>
        <v>9302.4214549609715</v>
      </c>
    </row>
    <row r="39" spans="1:10">
      <c r="A39" s="1">
        <v>43924</v>
      </c>
      <c r="B39" s="2">
        <v>0</v>
      </c>
      <c r="C39" s="22">
        <v>0</v>
      </c>
      <c r="D39" s="22">
        <v>2.851</v>
      </c>
      <c r="E39" s="22">
        <v>13.628</v>
      </c>
      <c r="F39" s="3">
        <f t="shared" si="0"/>
        <v>0.95394460000000003</v>
      </c>
      <c r="G39" s="4">
        <f t="shared" si="1"/>
        <v>614.47676850589221</v>
      </c>
      <c r="H39" s="22" t="s">
        <v>35</v>
      </c>
      <c r="I39" s="22">
        <f t="shared" si="2"/>
        <v>15</v>
      </c>
      <c r="J39" s="5">
        <f t="shared" si="3"/>
        <v>9217.151527588383</v>
      </c>
    </row>
    <row r="40" spans="1:10">
      <c r="A40" s="1">
        <v>43924</v>
      </c>
      <c r="B40" s="2">
        <v>1.0416666666666666E-2</v>
      </c>
      <c r="C40" s="22">
        <v>0</v>
      </c>
      <c r="D40" s="22">
        <v>2.8540000000000001</v>
      </c>
      <c r="E40" s="22">
        <v>13.518000000000001</v>
      </c>
      <c r="F40" s="3">
        <f t="shared" si="0"/>
        <v>0.95494840000000003</v>
      </c>
      <c r="G40" s="4">
        <f t="shared" si="1"/>
        <v>616.17876093914253</v>
      </c>
      <c r="H40" s="22" t="s">
        <v>35</v>
      </c>
      <c r="I40" s="22">
        <f t="shared" si="2"/>
        <v>15</v>
      </c>
      <c r="J40" s="5">
        <f t="shared" si="3"/>
        <v>9242.6814140871375</v>
      </c>
    </row>
    <row r="41" spans="1:10">
      <c r="A41" s="1">
        <v>43924</v>
      </c>
      <c r="B41" s="2">
        <v>2.0833333333333332E-2</v>
      </c>
      <c r="C41" s="22">
        <v>0</v>
      </c>
      <c r="D41" s="22">
        <v>2.899</v>
      </c>
      <c r="E41" s="22">
        <v>13.411</v>
      </c>
      <c r="F41" s="3">
        <f t="shared" si="0"/>
        <v>0.97000540000000002</v>
      </c>
      <c r="G41" s="4">
        <f t="shared" si="1"/>
        <v>642.05996836232691</v>
      </c>
      <c r="H41" s="22" t="s">
        <v>35</v>
      </c>
      <c r="I41" s="22">
        <f t="shared" si="2"/>
        <v>15.000000000000002</v>
      </c>
      <c r="J41" s="5">
        <f t="shared" si="3"/>
        <v>9630.8995254349047</v>
      </c>
    </row>
    <row r="42" spans="1:10">
      <c r="A42" s="1">
        <v>43924</v>
      </c>
      <c r="B42" s="2">
        <v>3.125E-2</v>
      </c>
      <c r="C42" s="22">
        <v>0</v>
      </c>
      <c r="D42" s="22">
        <v>2.8929999999999998</v>
      </c>
      <c r="E42" s="22">
        <v>13.304</v>
      </c>
      <c r="F42" s="3">
        <f t="shared" si="0"/>
        <v>0.96799779999999991</v>
      </c>
      <c r="G42" s="4">
        <f t="shared" si="1"/>
        <v>638.57096398705437</v>
      </c>
      <c r="H42" s="22" t="s">
        <v>35</v>
      </c>
      <c r="I42" s="22">
        <f t="shared" si="2"/>
        <v>14.999999999999996</v>
      </c>
      <c r="J42" s="5">
        <f t="shared" si="3"/>
        <v>9578.5644598058134</v>
      </c>
    </row>
    <row r="43" spans="1:10">
      <c r="A43" s="1">
        <v>43924</v>
      </c>
      <c r="B43" s="2">
        <v>4.1666666666666664E-2</v>
      </c>
      <c r="C43" s="22">
        <v>0</v>
      </c>
      <c r="D43" s="22">
        <v>2.8929999999999998</v>
      </c>
      <c r="E43" s="22">
        <v>13.212999999999999</v>
      </c>
      <c r="F43" s="3">
        <f t="shared" si="0"/>
        <v>0.96799779999999991</v>
      </c>
      <c r="G43" s="4">
        <f t="shared" si="1"/>
        <v>638.57096398705437</v>
      </c>
      <c r="H43" s="22" t="s">
        <v>35</v>
      </c>
      <c r="I43" s="22">
        <f t="shared" si="2"/>
        <v>15.000000000000007</v>
      </c>
      <c r="J43" s="5">
        <f t="shared" si="3"/>
        <v>9578.5644598058207</v>
      </c>
    </row>
    <row r="44" spans="1:10">
      <c r="A44" s="1">
        <v>43924</v>
      </c>
      <c r="B44" s="2">
        <v>5.2083333333333336E-2</v>
      </c>
      <c r="C44" s="22">
        <v>0</v>
      </c>
      <c r="D44" s="22">
        <v>2.8860000000000001</v>
      </c>
      <c r="E44" s="22">
        <v>13.141999999999999</v>
      </c>
      <c r="F44" s="3">
        <f t="shared" si="0"/>
        <v>0.96565560000000006</v>
      </c>
      <c r="G44" s="4">
        <f t="shared" si="1"/>
        <v>634.51533999781054</v>
      </c>
      <c r="H44" s="22" t="s">
        <v>35</v>
      </c>
      <c r="I44" s="22">
        <f t="shared" si="2"/>
        <v>14.999999999999996</v>
      </c>
      <c r="J44" s="5">
        <f t="shared" si="3"/>
        <v>9517.7300999671552</v>
      </c>
    </row>
    <row r="45" spans="1:10">
      <c r="A45" s="1">
        <v>43924</v>
      </c>
      <c r="B45" s="2">
        <v>6.25E-2</v>
      </c>
      <c r="C45" s="22">
        <v>0</v>
      </c>
      <c r="D45" s="22">
        <v>2.9049999999999998</v>
      </c>
      <c r="E45" s="22">
        <v>13.077</v>
      </c>
      <c r="F45" s="3">
        <f t="shared" si="0"/>
        <v>0.9720129999999999</v>
      </c>
      <c r="G45" s="4">
        <f t="shared" si="1"/>
        <v>645.5607630409695</v>
      </c>
      <c r="H45" s="22" t="s">
        <v>35</v>
      </c>
      <c r="I45" s="22">
        <f t="shared" si="2"/>
        <v>15.000000000000007</v>
      </c>
      <c r="J45" s="5">
        <f t="shared" si="3"/>
        <v>9683.4114456145471</v>
      </c>
    </row>
    <row r="46" spans="1:10">
      <c r="A46" s="1">
        <v>43924</v>
      </c>
      <c r="B46" s="2">
        <v>7.2916666666666671E-2</v>
      </c>
      <c r="C46" s="22">
        <v>0</v>
      </c>
      <c r="D46" s="22">
        <v>2.8740000000000001</v>
      </c>
      <c r="E46" s="22">
        <v>13.016</v>
      </c>
      <c r="F46" s="3">
        <f t="shared" si="0"/>
        <v>0.96164040000000006</v>
      </c>
      <c r="G46" s="4">
        <f t="shared" si="1"/>
        <v>627.600058573512</v>
      </c>
      <c r="H46" s="22" t="s">
        <v>35</v>
      </c>
      <c r="I46" s="22">
        <f t="shared" si="2"/>
        <v>14.999999999999988</v>
      </c>
      <c r="J46" s="5">
        <f t="shared" si="3"/>
        <v>9414.0008786026719</v>
      </c>
    </row>
    <row r="47" spans="1:10">
      <c r="A47" s="1">
        <v>43924</v>
      </c>
      <c r="B47" s="2">
        <v>8.3333333333333329E-2</v>
      </c>
      <c r="C47" s="22">
        <v>0</v>
      </c>
      <c r="D47" s="22">
        <v>2.8759999999999999</v>
      </c>
      <c r="E47" s="22">
        <v>12.948</v>
      </c>
      <c r="F47" s="3">
        <f t="shared" si="0"/>
        <v>0.96230959999999999</v>
      </c>
      <c r="G47" s="4">
        <f t="shared" si="1"/>
        <v>628.74934488400322</v>
      </c>
      <c r="H47" s="22" t="s">
        <v>35</v>
      </c>
      <c r="I47" s="22">
        <f t="shared" si="2"/>
        <v>15.000000000000007</v>
      </c>
      <c r="J47" s="5">
        <f t="shared" si="3"/>
        <v>9431.240173260052</v>
      </c>
    </row>
    <row r="48" spans="1:10">
      <c r="A48" s="1">
        <v>43924</v>
      </c>
      <c r="B48" s="2">
        <v>9.375E-2</v>
      </c>
      <c r="C48" s="22">
        <v>0</v>
      </c>
      <c r="D48" s="22">
        <v>2.8540000000000001</v>
      </c>
      <c r="E48" s="22">
        <v>12.882999999999999</v>
      </c>
      <c r="F48" s="3">
        <f t="shared" si="0"/>
        <v>0.95494840000000003</v>
      </c>
      <c r="G48" s="4">
        <f t="shared" si="1"/>
        <v>616.17876093914253</v>
      </c>
      <c r="H48" s="22" t="s">
        <v>35</v>
      </c>
      <c r="I48" s="22">
        <f t="shared" si="2"/>
        <v>15.000000000000007</v>
      </c>
      <c r="J48" s="5">
        <f t="shared" si="3"/>
        <v>9242.6814140871429</v>
      </c>
    </row>
    <row r="49" spans="1:10">
      <c r="A49" s="1">
        <v>43924</v>
      </c>
      <c r="B49" s="2">
        <v>0.10416666666666667</v>
      </c>
      <c r="C49" s="22">
        <v>0</v>
      </c>
      <c r="D49" s="22">
        <v>2.9079999999999999</v>
      </c>
      <c r="E49" s="22">
        <v>12.82</v>
      </c>
      <c r="F49" s="3">
        <f t="shared" si="0"/>
        <v>0.97301680000000002</v>
      </c>
      <c r="G49" s="4">
        <f t="shared" si="1"/>
        <v>647.31558654685</v>
      </c>
      <c r="H49" s="22" t="s">
        <v>35</v>
      </c>
      <c r="I49" s="22">
        <f t="shared" si="2"/>
        <v>14.999999999999988</v>
      </c>
      <c r="J49" s="5">
        <f t="shared" si="3"/>
        <v>9709.733798202742</v>
      </c>
    </row>
    <row r="50" spans="1:10">
      <c r="A50" s="1">
        <v>43924</v>
      </c>
      <c r="B50" s="2">
        <v>0.11458333333333333</v>
      </c>
      <c r="C50" s="22">
        <v>0</v>
      </c>
      <c r="D50" s="22">
        <v>2.9079999999999999</v>
      </c>
      <c r="E50" s="22">
        <v>12.759</v>
      </c>
      <c r="F50" s="3">
        <f t="shared" si="0"/>
        <v>0.97301680000000002</v>
      </c>
      <c r="G50" s="4">
        <f t="shared" si="1"/>
        <v>647.31558654685</v>
      </c>
      <c r="H50" s="22" t="s">
        <v>35</v>
      </c>
      <c r="I50" s="22">
        <f t="shared" si="2"/>
        <v>15.000000000000007</v>
      </c>
      <c r="J50" s="5">
        <f t="shared" si="3"/>
        <v>9709.7337982027548</v>
      </c>
    </row>
    <row r="51" spans="1:10">
      <c r="A51" s="1">
        <v>43924</v>
      </c>
      <c r="B51" s="2">
        <v>0.125</v>
      </c>
      <c r="C51" s="22">
        <v>0</v>
      </c>
      <c r="D51" s="22">
        <v>2.91</v>
      </c>
      <c r="E51" s="22">
        <v>12.704000000000001</v>
      </c>
      <c r="F51" s="3">
        <f t="shared" si="0"/>
        <v>0.97368600000000005</v>
      </c>
      <c r="G51" s="4">
        <f t="shared" si="1"/>
        <v>648.48710950880763</v>
      </c>
      <c r="H51" s="22" t="s">
        <v>35</v>
      </c>
      <c r="I51" s="22">
        <f t="shared" si="2"/>
        <v>14.999999999999988</v>
      </c>
      <c r="J51" s="5">
        <f t="shared" si="3"/>
        <v>9727.3066426321056</v>
      </c>
    </row>
    <row r="52" spans="1:10">
      <c r="A52" s="1">
        <v>43924</v>
      </c>
      <c r="B52" s="2">
        <v>0.13541666666666666</v>
      </c>
      <c r="C52" s="22">
        <v>0</v>
      </c>
      <c r="D52" s="22">
        <v>2.93</v>
      </c>
      <c r="E52" s="22">
        <v>12.622</v>
      </c>
      <c r="F52" s="3">
        <f t="shared" si="0"/>
        <v>0.98037800000000008</v>
      </c>
      <c r="G52" s="4">
        <f t="shared" si="1"/>
        <v>660.27465686262622</v>
      </c>
      <c r="H52" s="22" t="s">
        <v>35</v>
      </c>
      <c r="I52" s="22">
        <f t="shared" si="2"/>
        <v>15.000000000000027</v>
      </c>
      <c r="J52" s="5">
        <f t="shared" si="3"/>
        <v>9904.1198529394114</v>
      </c>
    </row>
    <row r="53" spans="1:10">
      <c r="A53" s="1">
        <v>43924</v>
      </c>
      <c r="B53" s="2">
        <v>0.14583333333333334</v>
      </c>
      <c r="C53" s="22">
        <v>0</v>
      </c>
      <c r="D53" s="22">
        <v>2.8809999999999998</v>
      </c>
      <c r="E53" s="22">
        <v>12.561</v>
      </c>
      <c r="F53" s="3">
        <f t="shared" si="0"/>
        <v>0.96398259999999991</v>
      </c>
      <c r="G53" s="4">
        <f t="shared" si="1"/>
        <v>631.62826461782413</v>
      </c>
      <c r="H53" s="22" t="s">
        <v>35</v>
      </c>
      <c r="I53" s="22">
        <f t="shared" si="2"/>
        <v>14.999999999999988</v>
      </c>
      <c r="J53" s="5">
        <f t="shared" si="3"/>
        <v>9474.4239692673546</v>
      </c>
    </row>
    <row r="54" spans="1:10">
      <c r="A54" s="1">
        <v>43924</v>
      </c>
      <c r="B54" s="2">
        <v>0.15625</v>
      </c>
      <c r="C54" s="22">
        <v>0</v>
      </c>
      <c r="D54" s="22">
        <v>2.879</v>
      </c>
      <c r="E54" s="22">
        <v>12.507</v>
      </c>
      <c r="F54" s="3">
        <f t="shared" si="0"/>
        <v>0.96331339999999999</v>
      </c>
      <c r="G54" s="4">
        <f t="shared" si="1"/>
        <v>630.47571854614807</v>
      </c>
      <c r="H54" s="22" t="s">
        <v>35</v>
      </c>
      <c r="I54" s="22">
        <f t="shared" si="2"/>
        <v>14.999999999999988</v>
      </c>
      <c r="J54" s="5">
        <f t="shared" si="3"/>
        <v>9457.1357781922125</v>
      </c>
    </row>
    <row r="55" spans="1:10">
      <c r="A55" s="1">
        <v>43924</v>
      </c>
      <c r="B55" s="2">
        <v>0.16666666666666666</v>
      </c>
      <c r="C55" s="22">
        <v>0</v>
      </c>
      <c r="D55" s="22">
        <v>2.887</v>
      </c>
      <c r="E55" s="22">
        <v>12.452999999999999</v>
      </c>
      <c r="F55" s="3">
        <f t="shared" si="0"/>
        <v>0.96599020000000002</v>
      </c>
      <c r="G55" s="4">
        <f t="shared" si="1"/>
        <v>635.09373453590501</v>
      </c>
      <c r="H55" s="22" t="s">
        <v>35</v>
      </c>
      <c r="I55" s="22">
        <f t="shared" si="2"/>
        <v>15.000000000000027</v>
      </c>
      <c r="J55" s="5">
        <f t="shared" si="3"/>
        <v>9526.4060180385914</v>
      </c>
    </row>
    <row r="56" spans="1:10">
      <c r="A56" s="1">
        <v>43924</v>
      </c>
      <c r="B56" s="2">
        <v>0.17708333333333334</v>
      </c>
      <c r="C56" s="22">
        <v>0</v>
      </c>
      <c r="D56" s="22">
        <v>2.8809999999999998</v>
      </c>
      <c r="E56" s="22">
        <v>12.394</v>
      </c>
      <c r="F56" s="3">
        <f t="shared" si="0"/>
        <v>0.96398259999999991</v>
      </c>
      <c r="G56" s="4">
        <f t="shared" si="1"/>
        <v>631.62826461782413</v>
      </c>
      <c r="H56" s="22" t="s">
        <v>35</v>
      </c>
      <c r="I56" s="22">
        <f t="shared" si="2"/>
        <v>14.999999999999988</v>
      </c>
      <c r="J56" s="5">
        <f t="shared" si="3"/>
        <v>9474.4239692673546</v>
      </c>
    </row>
    <row r="57" spans="1:10">
      <c r="A57" s="1">
        <v>43924</v>
      </c>
      <c r="B57" s="2">
        <v>0.1875</v>
      </c>
      <c r="C57" s="22">
        <v>0</v>
      </c>
      <c r="D57" s="22">
        <v>2.827</v>
      </c>
      <c r="E57" s="22">
        <v>12.332000000000001</v>
      </c>
      <c r="F57" s="3">
        <f t="shared" si="0"/>
        <v>0.94591420000000004</v>
      </c>
      <c r="G57" s="4">
        <f t="shared" si="1"/>
        <v>600.96566893172621</v>
      </c>
      <c r="H57" s="22" t="s">
        <v>35</v>
      </c>
      <c r="I57" s="22">
        <f t="shared" si="2"/>
        <v>14.999999999999988</v>
      </c>
      <c r="J57" s="5">
        <f t="shared" si="3"/>
        <v>9014.485033975885</v>
      </c>
    </row>
    <row r="58" spans="1:10">
      <c r="A58" s="1">
        <v>43924</v>
      </c>
      <c r="B58" s="2">
        <v>0.19791666666666666</v>
      </c>
      <c r="C58" s="22">
        <v>0</v>
      </c>
      <c r="D58" s="22">
        <v>2.8250000000000002</v>
      </c>
      <c r="E58" s="22">
        <v>12.289</v>
      </c>
      <c r="F58" s="3">
        <f t="shared" si="0"/>
        <v>0.94524500000000011</v>
      </c>
      <c r="G58" s="4">
        <f t="shared" si="1"/>
        <v>599.84813901843154</v>
      </c>
      <c r="H58" s="22" t="s">
        <v>35</v>
      </c>
      <c r="I58" s="22">
        <f t="shared" si="2"/>
        <v>15.000000000000027</v>
      </c>
      <c r="J58" s="5">
        <f t="shared" si="3"/>
        <v>8997.7220852764895</v>
      </c>
    </row>
    <row r="59" spans="1:10">
      <c r="A59" s="1">
        <v>43924</v>
      </c>
      <c r="B59" s="2">
        <v>0.20833333333333334</v>
      </c>
      <c r="C59" s="22">
        <v>0</v>
      </c>
      <c r="D59" s="22">
        <v>2.8340000000000001</v>
      </c>
      <c r="E59" s="22">
        <v>12.250999999999999</v>
      </c>
      <c r="F59" s="3">
        <f t="shared" si="0"/>
        <v>0.9482564</v>
      </c>
      <c r="G59" s="4">
        <f t="shared" si="1"/>
        <v>604.887181744695</v>
      </c>
      <c r="H59" s="22" t="s">
        <v>35</v>
      </c>
      <c r="I59" s="22">
        <f t="shared" si="2"/>
        <v>14.999999999999988</v>
      </c>
      <c r="J59" s="5">
        <f t="shared" si="3"/>
        <v>9073.3077261704166</v>
      </c>
    </row>
    <row r="60" spans="1:10">
      <c r="A60" s="1">
        <v>43924</v>
      </c>
      <c r="B60" s="2">
        <v>0.21875</v>
      </c>
      <c r="C60" s="22">
        <v>0</v>
      </c>
      <c r="D60" s="22">
        <v>2.8620000000000001</v>
      </c>
      <c r="E60" s="22">
        <v>12.212999999999999</v>
      </c>
      <c r="F60" s="3">
        <f t="shared" si="0"/>
        <v>0.95762520000000007</v>
      </c>
      <c r="G60" s="4">
        <f t="shared" si="1"/>
        <v>620.7316817177948</v>
      </c>
      <c r="H60" s="22" t="s">
        <v>35</v>
      </c>
      <c r="I60" s="22">
        <f t="shared" si="2"/>
        <v>14.999999999999988</v>
      </c>
      <c r="J60" s="5">
        <f t="shared" si="3"/>
        <v>9310.9752257669152</v>
      </c>
    </row>
    <row r="61" spans="1:10">
      <c r="A61" s="1">
        <v>43924</v>
      </c>
      <c r="B61" s="2">
        <v>0.22916666666666666</v>
      </c>
      <c r="C61" s="22">
        <v>0</v>
      </c>
      <c r="D61" s="22">
        <v>2.8220000000000001</v>
      </c>
      <c r="E61" s="22">
        <v>12.145</v>
      </c>
      <c r="F61" s="3">
        <f t="shared" si="0"/>
        <v>0.9442412</v>
      </c>
      <c r="G61" s="4">
        <f t="shared" si="1"/>
        <v>598.17426059249101</v>
      </c>
      <c r="H61" s="22" t="s">
        <v>35</v>
      </c>
      <c r="I61" s="22">
        <f t="shared" si="2"/>
        <v>15.000000000000027</v>
      </c>
      <c r="J61" s="5">
        <f t="shared" si="3"/>
        <v>8972.6139088873806</v>
      </c>
    </row>
    <row r="62" spans="1:10">
      <c r="A62" s="1">
        <v>43924</v>
      </c>
      <c r="B62" s="2">
        <v>0.23958333333333334</v>
      </c>
      <c r="C62" s="22">
        <v>0</v>
      </c>
      <c r="D62" s="22">
        <v>2.8490000000000002</v>
      </c>
      <c r="E62" s="22">
        <v>12.083</v>
      </c>
      <c r="F62" s="3">
        <f t="shared" si="0"/>
        <v>0.95327540000000011</v>
      </c>
      <c r="G62" s="4">
        <f t="shared" si="1"/>
        <v>613.34372741110019</v>
      </c>
      <c r="H62" s="22" t="s">
        <v>35</v>
      </c>
      <c r="I62" s="22">
        <f t="shared" si="2"/>
        <v>14.999999999999988</v>
      </c>
      <c r="J62" s="5">
        <f t="shared" si="3"/>
        <v>9200.1559111664956</v>
      </c>
    </row>
    <row r="63" spans="1:10">
      <c r="A63" s="1">
        <v>43924</v>
      </c>
      <c r="B63" s="2">
        <v>0.25</v>
      </c>
      <c r="C63" s="22">
        <v>0</v>
      </c>
      <c r="D63" s="22">
        <v>2.8769999999999998</v>
      </c>
      <c r="E63" s="22">
        <v>12.032999999999999</v>
      </c>
      <c r="F63" s="3">
        <f t="shared" si="0"/>
        <v>0.96264419999999995</v>
      </c>
      <c r="G63" s="4">
        <f t="shared" si="1"/>
        <v>629.324476807152</v>
      </c>
      <c r="H63" s="22" t="s">
        <v>35</v>
      </c>
      <c r="I63" s="22">
        <f t="shared" si="2"/>
        <v>15.000000000000027</v>
      </c>
      <c r="J63" s="5">
        <f t="shared" si="3"/>
        <v>9439.8671521072974</v>
      </c>
    </row>
    <row r="64" spans="1:10">
      <c r="A64" s="1">
        <v>43924</v>
      </c>
      <c r="B64" s="2">
        <v>0.26041666666666669</v>
      </c>
      <c r="C64" s="22">
        <v>0</v>
      </c>
      <c r="D64" s="22">
        <v>2.8860000000000001</v>
      </c>
      <c r="E64" s="22">
        <v>11.97</v>
      </c>
      <c r="F64" s="3">
        <f t="shared" si="0"/>
        <v>0.96565560000000006</v>
      </c>
      <c r="G64" s="4">
        <f t="shared" si="1"/>
        <v>634.51533999781054</v>
      </c>
      <c r="H64" s="22" t="s">
        <v>35</v>
      </c>
      <c r="I64" s="22">
        <f t="shared" si="2"/>
        <v>14.999999999999947</v>
      </c>
      <c r="J64" s="5">
        <f t="shared" si="3"/>
        <v>9517.7300999671243</v>
      </c>
    </row>
    <row r="65" spans="1:10">
      <c r="A65" s="1">
        <v>43924</v>
      </c>
      <c r="B65" s="2">
        <v>0.27083333333333331</v>
      </c>
      <c r="C65" s="22">
        <v>0</v>
      </c>
      <c r="D65" s="22">
        <v>2.8380000000000001</v>
      </c>
      <c r="E65" s="22">
        <v>11.911</v>
      </c>
      <c r="F65" s="3">
        <f t="shared" si="0"/>
        <v>0.94959480000000007</v>
      </c>
      <c r="G65" s="4">
        <f t="shared" si="1"/>
        <v>607.13514761176566</v>
      </c>
      <c r="H65" s="22" t="s">
        <v>35</v>
      </c>
      <c r="I65" s="22">
        <f t="shared" si="2"/>
        <v>15.000000000000027</v>
      </c>
      <c r="J65" s="5">
        <f t="shared" si="3"/>
        <v>9107.0272141765017</v>
      </c>
    </row>
    <row r="66" spans="1:10">
      <c r="A66" s="1">
        <v>43924</v>
      </c>
      <c r="B66" s="2">
        <v>0.28125</v>
      </c>
      <c r="C66" s="22">
        <v>0</v>
      </c>
      <c r="D66" s="22">
        <v>2.8439999999999999</v>
      </c>
      <c r="E66" s="22">
        <v>11.856999999999999</v>
      </c>
      <c r="F66" s="3">
        <f t="shared" ref="F66:F98" si="4">D66*0.3346</f>
        <v>0.95160239999999996</v>
      </c>
      <c r="G66" s="4">
        <f t="shared" ref="G66:G98" si="5">695.6*(F66^2.63)</f>
        <v>610.51679234163646</v>
      </c>
      <c r="H66" s="22" t="s">
        <v>35</v>
      </c>
      <c r="I66" s="22">
        <f t="shared" si="2"/>
        <v>15.000000000000027</v>
      </c>
      <c r="J66" s="5">
        <f t="shared" si="3"/>
        <v>9157.7518851245641</v>
      </c>
    </row>
    <row r="67" spans="1:10">
      <c r="A67" s="1">
        <v>43924</v>
      </c>
      <c r="B67" s="2">
        <v>0.29166666666666669</v>
      </c>
      <c r="C67" s="22">
        <v>0</v>
      </c>
      <c r="D67" s="22">
        <v>2.8380000000000001</v>
      </c>
      <c r="E67" s="22">
        <v>11.795999999999999</v>
      </c>
      <c r="F67" s="3">
        <f t="shared" si="4"/>
        <v>0.94959480000000007</v>
      </c>
      <c r="G67" s="4">
        <f t="shared" si="5"/>
        <v>607.13514761176566</v>
      </c>
      <c r="H67" s="22" t="s">
        <v>35</v>
      </c>
      <c r="I67" s="22">
        <f t="shared" ref="I67:I97" si="6">CONVERT((B68-B67),"day","mn")</f>
        <v>14.999999999999947</v>
      </c>
      <c r="J67" s="5">
        <f t="shared" ref="J67:J98" si="7">G67*I67</f>
        <v>9107.0272141764526</v>
      </c>
    </row>
    <row r="68" spans="1:10">
      <c r="A68" s="1">
        <v>43924</v>
      </c>
      <c r="B68" s="2">
        <v>0.30208333333333331</v>
      </c>
      <c r="C68" s="22">
        <v>0</v>
      </c>
      <c r="D68" s="22">
        <v>2.847</v>
      </c>
      <c r="E68" s="22">
        <v>11.741</v>
      </c>
      <c r="F68" s="3">
        <f t="shared" si="4"/>
        <v>0.95260620000000007</v>
      </c>
      <c r="G68" s="4">
        <f t="shared" si="5"/>
        <v>612.21198206974577</v>
      </c>
      <c r="H68" s="22" t="s">
        <v>35</v>
      </c>
      <c r="I68" s="22">
        <f t="shared" si="6"/>
        <v>15.000000000000027</v>
      </c>
      <c r="J68" s="5">
        <f t="shared" si="7"/>
        <v>9183.1797310462025</v>
      </c>
    </row>
    <row r="69" spans="1:10">
      <c r="A69" s="1">
        <v>43924</v>
      </c>
      <c r="B69" s="2">
        <v>0.3125</v>
      </c>
      <c r="C69" s="22">
        <v>0</v>
      </c>
      <c r="D69" s="22">
        <v>2.8660000000000001</v>
      </c>
      <c r="E69" s="22">
        <v>11.686</v>
      </c>
      <c r="F69" s="3">
        <f t="shared" si="4"/>
        <v>0.95896360000000003</v>
      </c>
      <c r="G69" s="4">
        <f t="shared" si="5"/>
        <v>623.01593666908195</v>
      </c>
      <c r="H69" s="22" t="s">
        <v>35</v>
      </c>
      <c r="I69" s="22">
        <f t="shared" si="6"/>
        <v>15.000000000000027</v>
      </c>
      <c r="J69" s="5">
        <f t="shared" si="7"/>
        <v>9345.2390500362453</v>
      </c>
    </row>
    <row r="70" spans="1:10">
      <c r="A70" s="1">
        <v>43924</v>
      </c>
      <c r="B70" s="2">
        <v>0.32291666666666669</v>
      </c>
      <c r="C70" s="22">
        <v>0</v>
      </c>
      <c r="D70" s="22">
        <v>2.8620000000000001</v>
      </c>
      <c r="E70" s="22">
        <v>11.635999999999999</v>
      </c>
      <c r="F70" s="3">
        <f t="shared" si="4"/>
        <v>0.95762520000000007</v>
      </c>
      <c r="G70" s="4">
        <f t="shared" si="5"/>
        <v>620.7316817177948</v>
      </c>
      <c r="H70" s="22" t="s">
        <v>35</v>
      </c>
      <c r="I70" s="22">
        <f t="shared" si="6"/>
        <v>14.999999999999947</v>
      </c>
      <c r="J70" s="5">
        <f t="shared" si="7"/>
        <v>9310.9752257668897</v>
      </c>
    </row>
    <row r="71" spans="1:10">
      <c r="A71" s="1">
        <v>43924</v>
      </c>
      <c r="B71" s="2">
        <v>0.33333333333333331</v>
      </c>
      <c r="C71" s="22">
        <v>0</v>
      </c>
      <c r="D71" s="22">
        <v>2.8769999999999998</v>
      </c>
      <c r="E71" s="22">
        <v>11.611000000000001</v>
      </c>
      <c r="F71" s="3">
        <f t="shared" si="4"/>
        <v>0.96264419999999995</v>
      </c>
      <c r="G71" s="4">
        <f t="shared" si="5"/>
        <v>629.324476807152</v>
      </c>
      <c r="H71" s="22" t="s">
        <v>35</v>
      </c>
      <c r="I71" s="22">
        <f t="shared" si="6"/>
        <v>15.000000000000027</v>
      </c>
      <c r="J71" s="5">
        <f t="shared" si="7"/>
        <v>9439.8671521072974</v>
      </c>
    </row>
    <row r="72" spans="1:10">
      <c r="A72" s="1">
        <v>43924</v>
      </c>
      <c r="B72" s="2">
        <v>0.34375</v>
      </c>
      <c r="C72" s="22">
        <v>0</v>
      </c>
      <c r="D72" s="22">
        <v>2.8690000000000002</v>
      </c>
      <c r="E72" s="22">
        <v>11.59</v>
      </c>
      <c r="F72" s="3">
        <f t="shared" si="4"/>
        <v>0.95996740000000014</v>
      </c>
      <c r="G72" s="4">
        <f t="shared" si="5"/>
        <v>624.73254175742227</v>
      </c>
      <c r="H72" s="22" t="s">
        <v>35</v>
      </c>
      <c r="I72" s="22">
        <f t="shared" si="6"/>
        <v>15.000000000000027</v>
      </c>
      <c r="J72" s="5">
        <f t="shared" si="7"/>
        <v>9370.9881263613515</v>
      </c>
    </row>
    <row r="73" spans="1:10">
      <c r="A73" s="1">
        <v>43924</v>
      </c>
      <c r="B73" s="2">
        <v>0.35416666666666669</v>
      </c>
      <c r="C73" s="22">
        <v>0</v>
      </c>
      <c r="D73" s="22">
        <v>2.9</v>
      </c>
      <c r="E73" s="22">
        <v>11.567</v>
      </c>
      <c r="F73" s="3">
        <f t="shared" si="4"/>
        <v>0.97033999999999998</v>
      </c>
      <c r="G73" s="4">
        <f t="shared" si="5"/>
        <v>642.64261495587107</v>
      </c>
      <c r="H73" s="22" t="s">
        <v>35</v>
      </c>
      <c r="I73" s="22">
        <f t="shared" si="6"/>
        <v>14.999999999999947</v>
      </c>
      <c r="J73" s="5">
        <f t="shared" si="7"/>
        <v>9639.6392243380324</v>
      </c>
    </row>
    <row r="74" spans="1:10">
      <c r="A74" s="1">
        <v>43924</v>
      </c>
      <c r="B74" s="2">
        <v>0.36458333333333331</v>
      </c>
      <c r="C74" s="22">
        <v>0</v>
      </c>
      <c r="D74" s="22">
        <v>2.899</v>
      </c>
      <c r="E74" s="22">
        <v>11.599</v>
      </c>
      <c r="F74" s="3">
        <f t="shared" si="4"/>
        <v>0.97000540000000002</v>
      </c>
      <c r="G74" s="4">
        <f t="shared" si="5"/>
        <v>642.05996836232691</v>
      </c>
      <c r="H74" s="22" t="s">
        <v>35</v>
      </c>
      <c r="I74" s="22">
        <f t="shared" si="6"/>
        <v>15.000000000000027</v>
      </c>
      <c r="J74" s="5">
        <f t="shared" si="7"/>
        <v>9630.8995254349211</v>
      </c>
    </row>
    <row r="75" spans="1:10">
      <c r="A75" s="1">
        <v>43924</v>
      </c>
      <c r="B75" s="2">
        <v>0.375</v>
      </c>
      <c r="C75" s="22">
        <v>0</v>
      </c>
      <c r="D75" s="22">
        <v>2.8860000000000001</v>
      </c>
      <c r="E75" s="22">
        <v>11.535</v>
      </c>
      <c r="F75" s="3">
        <f t="shared" si="4"/>
        <v>0.96565560000000006</v>
      </c>
      <c r="G75" s="4">
        <f t="shared" si="5"/>
        <v>634.51533999781054</v>
      </c>
      <c r="H75" s="22" t="s">
        <v>35</v>
      </c>
      <c r="I75" s="22">
        <f t="shared" si="6"/>
        <v>15.000000000000027</v>
      </c>
      <c r="J75" s="5">
        <f t="shared" si="7"/>
        <v>9517.7300999671752</v>
      </c>
    </row>
    <row r="76" spans="1:10">
      <c r="A76" s="1">
        <v>43924</v>
      </c>
      <c r="B76" s="2">
        <v>0.38541666666666669</v>
      </c>
      <c r="C76" s="22">
        <v>0</v>
      </c>
      <c r="D76" s="22">
        <v>2.8849999999999998</v>
      </c>
      <c r="E76" s="22">
        <v>11.602</v>
      </c>
      <c r="F76" s="3">
        <f t="shared" si="4"/>
        <v>0.96532099999999998</v>
      </c>
      <c r="G76" s="4">
        <f t="shared" si="5"/>
        <v>633.93727204215202</v>
      </c>
      <c r="H76" s="22" t="s">
        <v>35</v>
      </c>
      <c r="I76" s="22">
        <f t="shared" si="6"/>
        <v>14.999999999999947</v>
      </c>
      <c r="J76" s="5">
        <f t="shared" si="7"/>
        <v>9509.0590806322471</v>
      </c>
    </row>
    <row r="77" spans="1:10">
      <c r="A77" s="1">
        <v>43924</v>
      </c>
      <c r="B77" s="2">
        <v>0.39583333333333331</v>
      </c>
      <c r="C77" s="22">
        <v>0</v>
      </c>
      <c r="D77" s="22">
        <v>2.9489999999999998</v>
      </c>
      <c r="E77" s="22">
        <v>11.726000000000001</v>
      </c>
      <c r="F77" s="3">
        <f t="shared" si="4"/>
        <v>0.98673539999999993</v>
      </c>
      <c r="G77" s="4">
        <f t="shared" si="5"/>
        <v>671.59497571776956</v>
      </c>
      <c r="H77" s="22" t="s">
        <v>35</v>
      </c>
      <c r="I77" s="22">
        <f t="shared" si="6"/>
        <v>15.000000000000027</v>
      </c>
      <c r="J77" s="5">
        <f t="shared" si="7"/>
        <v>10073.924635766562</v>
      </c>
    </row>
    <row r="78" spans="1:10">
      <c r="A78" s="1">
        <v>43924</v>
      </c>
      <c r="B78" s="2">
        <v>0.40625</v>
      </c>
      <c r="C78" s="22">
        <v>0</v>
      </c>
      <c r="D78" s="22">
        <v>2.9159999999999999</v>
      </c>
      <c r="E78" s="22">
        <v>11.866</v>
      </c>
      <c r="F78" s="3">
        <f t="shared" si="4"/>
        <v>0.97569360000000005</v>
      </c>
      <c r="G78" s="4">
        <f t="shared" si="5"/>
        <v>652.00955964790705</v>
      </c>
      <c r="H78" s="22" t="s">
        <v>35</v>
      </c>
      <c r="I78" s="22">
        <f t="shared" si="6"/>
        <v>15.000000000000027</v>
      </c>
      <c r="J78" s="5">
        <f t="shared" si="7"/>
        <v>9780.1433947186233</v>
      </c>
    </row>
    <row r="79" spans="1:10">
      <c r="A79" s="1">
        <v>43924</v>
      </c>
      <c r="B79" s="2">
        <v>0.41666666666666669</v>
      </c>
      <c r="C79" s="22">
        <v>0</v>
      </c>
      <c r="D79" s="22">
        <v>2.9</v>
      </c>
      <c r="E79" s="22">
        <v>12.034000000000001</v>
      </c>
      <c r="F79" s="3">
        <f t="shared" si="4"/>
        <v>0.97033999999999998</v>
      </c>
      <c r="G79" s="4">
        <f t="shared" si="5"/>
        <v>642.64261495587107</v>
      </c>
      <c r="H79" s="22" t="s">
        <v>35</v>
      </c>
      <c r="I79" s="22">
        <f t="shared" si="6"/>
        <v>14.999999999999947</v>
      </c>
      <c r="J79" s="5">
        <f t="shared" si="7"/>
        <v>9639.6392243380324</v>
      </c>
    </row>
    <row r="80" spans="1:10">
      <c r="A80" s="1">
        <v>43924</v>
      </c>
      <c r="B80" s="2">
        <v>0.42708333333333331</v>
      </c>
      <c r="C80" s="22">
        <v>0</v>
      </c>
      <c r="D80" s="22">
        <v>2.8690000000000002</v>
      </c>
      <c r="E80" s="22">
        <v>12.214</v>
      </c>
      <c r="F80" s="3">
        <f t="shared" si="4"/>
        <v>0.95996740000000014</v>
      </c>
      <c r="G80" s="4">
        <f t="shared" si="5"/>
        <v>624.73254175742227</v>
      </c>
      <c r="H80" s="22" t="s">
        <v>35</v>
      </c>
      <c r="I80" s="22">
        <f t="shared" si="6"/>
        <v>15.000000000000027</v>
      </c>
      <c r="J80" s="5">
        <f t="shared" si="7"/>
        <v>9370.9881263613515</v>
      </c>
    </row>
    <row r="81" spans="1:11">
      <c r="A81" s="1">
        <v>43924</v>
      </c>
      <c r="B81" s="2">
        <v>0.4375</v>
      </c>
      <c r="C81" s="22">
        <v>0</v>
      </c>
      <c r="D81" s="22">
        <v>3</v>
      </c>
      <c r="E81" s="22">
        <v>12.419</v>
      </c>
      <c r="F81" s="3">
        <f t="shared" si="4"/>
        <v>1.0038</v>
      </c>
      <c r="G81" s="4">
        <f t="shared" si="5"/>
        <v>702.57337338111358</v>
      </c>
      <c r="H81" s="22" t="s">
        <v>35</v>
      </c>
      <c r="I81" s="22">
        <f t="shared" si="6"/>
        <v>15.000000000000027</v>
      </c>
      <c r="J81" s="5">
        <f t="shared" si="7"/>
        <v>10538.600600716722</v>
      </c>
      <c r="K81" s="22"/>
    </row>
    <row r="82" spans="1:11">
      <c r="A82" s="1">
        <v>43924</v>
      </c>
      <c r="B82" s="2">
        <v>0.44791666666666669</v>
      </c>
      <c r="C82" s="22">
        <v>0</v>
      </c>
      <c r="D82" s="22">
        <v>2.9809999999999999</v>
      </c>
      <c r="E82" s="22">
        <v>12.634</v>
      </c>
      <c r="F82" s="3">
        <f t="shared" si="4"/>
        <v>0.99744259999999996</v>
      </c>
      <c r="G82" s="4">
        <f t="shared" si="5"/>
        <v>690.93116706815749</v>
      </c>
      <c r="H82" s="22" t="s">
        <v>35</v>
      </c>
      <c r="I82" s="22">
        <f t="shared" si="6"/>
        <v>14.999999999999947</v>
      </c>
      <c r="J82" s="5">
        <f t="shared" si="7"/>
        <v>10363.967506022325</v>
      </c>
      <c r="K82" s="22"/>
    </row>
    <row r="83" spans="1:11">
      <c r="A83" s="1">
        <v>43924</v>
      </c>
      <c r="B83" s="2">
        <v>0.45833333333333331</v>
      </c>
      <c r="C83" s="22">
        <v>0</v>
      </c>
      <c r="D83" s="22">
        <v>2.9460000000000002</v>
      </c>
      <c r="E83" s="22">
        <v>12.877000000000001</v>
      </c>
      <c r="F83" s="3">
        <f t="shared" si="4"/>
        <v>0.98573160000000004</v>
      </c>
      <c r="G83" s="4">
        <f t="shared" si="5"/>
        <v>669.79962406616141</v>
      </c>
      <c r="H83" s="22" t="s">
        <v>35</v>
      </c>
      <c r="I83" s="22">
        <f t="shared" si="6"/>
        <v>15.000000000000027</v>
      </c>
      <c r="J83" s="5">
        <f t="shared" si="7"/>
        <v>10046.994360992439</v>
      </c>
      <c r="K83" s="22"/>
    </row>
    <row r="84" spans="1:11">
      <c r="A84" s="1">
        <v>43924</v>
      </c>
      <c r="B84" s="2">
        <v>0.46875</v>
      </c>
      <c r="C84" s="22">
        <v>0</v>
      </c>
      <c r="D84" s="22">
        <v>2.8969999999999998</v>
      </c>
      <c r="E84" s="22">
        <v>13.132</v>
      </c>
      <c r="F84" s="3">
        <f t="shared" si="4"/>
        <v>0.96933619999999998</v>
      </c>
      <c r="G84" s="4">
        <f t="shared" si="5"/>
        <v>640.89565762942129</v>
      </c>
      <c r="H84" s="22" t="s">
        <v>35</v>
      </c>
      <c r="I84" s="22">
        <f t="shared" si="6"/>
        <v>15.000000000000027</v>
      </c>
      <c r="J84" s="5">
        <f t="shared" si="7"/>
        <v>9613.4348644413367</v>
      </c>
      <c r="K84" s="22"/>
    </row>
    <row r="85" spans="1:11">
      <c r="A85" s="1">
        <v>43924</v>
      </c>
      <c r="B85" s="2">
        <v>0.47916666666666669</v>
      </c>
      <c r="C85" s="22">
        <v>0</v>
      </c>
      <c r="D85" s="22">
        <v>3.0230000000000001</v>
      </c>
      <c r="E85" s="22">
        <v>13.409000000000001</v>
      </c>
      <c r="F85" s="3">
        <f t="shared" si="4"/>
        <v>1.0114958000000001</v>
      </c>
      <c r="G85" s="4">
        <f t="shared" si="5"/>
        <v>716.82825218008009</v>
      </c>
      <c r="H85" s="22" t="s">
        <v>35</v>
      </c>
      <c r="I85" s="22">
        <f t="shared" si="6"/>
        <v>14.999999999999947</v>
      </c>
      <c r="J85" s="5">
        <f t="shared" si="7"/>
        <v>10752.423782701164</v>
      </c>
      <c r="K85" s="22"/>
    </row>
    <row r="86" spans="1:11">
      <c r="A86" s="1">
        <v>43924</v>
      </c>
      <c r="B86" s="2">
        <v>0.48958333333333331</v>
      </c>
      <c r="C86" s="22">
        <v>0</v>
      </c>
      <c r="D86" s="22">
        <v>2.9580000000000002</v>
      </c>
      <c r="E86" s="22">
        <v>13.698</v>
      </c>
      <c r="F86" s="3">
        <f t="shared" si="4"/>
        <v>0.98974680000000004</v>
      </c>
      <c r="G86" s="4">
        <f t="shared" si="5"/>
        <v>676.99891532334004</v>
      </c>
      <c r="H86" s="22" t="s">
        <v>35</v>
      </c>
      <c r="I86" s="22">
        <f t="shared" si="6"/>
        <v>15.000000000000027</v>
      </c>
      <c r="J86" s="5">
        <f t="shared" si="7"/>
        <v>10154.983729850119</v>
      </c>
      <c r="K86" s="22"/>
    </row>
    <row r="87" spans="1:11">
      <c r="A87" s="1">
        <v>43924</v>
      </c>
      <c r="B87" s="2">
        <v>0.5</v>
      </c>
      <c r="C87" s="22">
        <v>0</v>
      </c>
      <c r="D87" s="22">
        <v>2.9239999999999999</v>
      </c>
      <c r="E87" s="22">
        <v>14.007</v>
      </c>
      <c r="F87" s="3">
        <f t="shared" si="4"/>
        <v>0.97837039999999997</v>
      </c>
      <c r="G87" s="4">
        <f t="shared" si="5"/>
        <v>656.72457063932302</v>
      </c>
      <c r="H87" s="22" t="s">
        <v>35</v>
      </c>
      <c r="I87" s="22">
        <f t="shared" si="6"/>
        <v>14.999999999999947</v>
      </c>
      <c r="J87" s="5">
        <f t="shared" si="7"/>
        <v>9850.8685595898096</v>
      </c>
      <c r="K87" s="22"/>
    </row>
    <row r="88" spans="1:11">
      <c r="A88" s="1">
        <v>43924</v>
      </c>
      <c r="B88" s="2">
        <v>0.51041666666666663</v>
      </c>
      <c r="C88" s="22">
        <v>0</v>
      </c>
      <c r="D88" s="22">
        <v>2.8740000000000001</v>
      </c>
      <c r="E88" s="22">
        <v>14.343999999999999</v>
      </c>
      <c r="F88" s="3">
        <f t="shared" si="4"/>
        <v>0.96164040000000006</v>
      </c>
      <c r="G88" s="4">
        <f t="shared" si="5"/>
        <v>627.600058573512</v>
      </c>
      <c r="H88" s="22" t="s">
        <v>35</v>
      </c>
      <c r="I88" s="22">
        <f t="shared" si="6"/>
        <v>15.000000000000107</v>
      </c>
      <c r="J88" s="5">
        <f t="shared" si="7"/>
        <v>9414.0008786027465</v>
      </c>
      <c r="K88" s="22"/>
    </row>
    <row r="89" spans="1:11">
      <c r="A89" s="1">
        <v>43924</v>
      </c>
      <c r="B89" s="2">
        <v>0.52083333333333337</v>
      </c>
      <c r="C89" s="22">
        <v>0</v>
      </c>
      <c r="D89" s="22">
        <v>3.0419999999999998</v>
      </c>
      <c r="E89" s="22">
        <v>14.72</v>
      </c>
      <c r="F89" s="3">
        <f t="shared" si="4"/>
        <v>1.0178532</v>
      </c>
      <c r="G89" s="4">
        <f t="shared" si="5"/>
        <v>728.73815410298744</v>
      </c>
      <c r="H89" s="22" t="s">
        <v>35</v>
      </c>
      <c r="I89" s="22">
        <f t="shared" si="6"/>
        <v>9.5166666666666622</v>
      </c>
      <c r="J89" s="5">
        <f t="shared" si="7"/>
        <v>6935.1580998800937</v>
      </c>
      <c r="K89" s="22"/>
    </row>
    <row r="90" spans="1:11">
      <c r="A90" s="6">
        <v>43924</v>
      </c>
      <c r="B90" s="7">
        <v>0.52744212962962966</v>
      </c>
      <c r="C90" s="8">
        <v>0</v>
      </c>
      <c r="D90" s="8">
        <f>AVERAGE(D89,D91)</f>
        <v>3.008</v>
      </c>
      <c r="E90" s="8">
        <v>14.662000000000001</v>
      </c>
      <c r="F90" s="9">
        <f t="shared" si="4"/>
        <v>1.0064767999999999</v>
      </c>
      <c r="G90" s="10">
        <f t="shared" si="5"/>
        <v>707.51146947716848</v>
      </c>
      <c r="H90" s="8" t="s">
        <v>35</v>
      </c>
      <c r="I90" s="8">
        <f t="shared" si="6"/>
        <v>14.999999999999947</v>
      </c>
      <c r="J90" s="11">
        <f t="shared" si="7"/>
        <v>10612.67204215749</v>
      </c>
      <c r="K90" s="5" t="s">
        <v>644</v>
      </c>
    </row>
    <row r="91" spans="1:11">
      <c r="A91" s="1">
        <v>43924</v>
      </c>
      <c r="B91" s="2">
        <v>0.53785879629629629</v>
      </c>
      <c r="C91" s="22">
        <v>0</v>
      </c>
      <c r="D91" s="22">
        <v>2.9740000000000002</v>
      </c>
      <c r="E91" s="22">
        <v>17.466999999999999</v>
      </c>
      <c r="F91" s="3">
        <f t="shared" si="4"/>
        <v>0.99510040000000011</v>
      </c>
      <c r="G91" s="4">
        <f t="shared" si="5"/>
        <v>686.67229040392908</v>
      </c>
      <c r="H91" s="22" t="s">
        <v>35</v>
      </c>
      <c r="I91" s="22">
        <f t="shared" si="6"/>
        <v>15.000000000000107</v>
      </c>
      <c r="J91" s="5">
        <f t="shared" si="7"/>
        <v>10300.084356059009</v>
      </c>
      <c r="K91" s="22"/>
    </row>
    <row r="92" spans="1:11">
      <c r="A92" s="1">
        <v>43924</v>
      </c>
      <c r="B92" s="2">
        <v>0.54827546296296303</v>
      </c>
      <c r="C92" s="22">
        <v>0</v>
      </c>
      <c r="D92" s="22">
        <v>2.9039999999999999</v>
      </c>
      <c r="E92" s="22">
        <v>17.132000000000001</v>
      </c>
      <c r="F92" s="3">
        <f t="shared" si="4"/>
        <v>0.97167839999999994</v>
      </c>
      <c r="G92" s="4">
        <f t="shared" si="5"/>
        <v>644.97647783781383</v>
      </c>
      <c r="H92" s="22" t="s">
        <v>35</v>
      </c>
      <c r="I92" s="22">
        <f t="shared" si="6"/>
        <v>14.999999999999947</v>
      </c>
      <c r="J92" s="5">
        <f t="shared" si="7"/>
        <v>9674.6471675671728</v>
      </c>
      <c r="K92" s="22"/>
    </row>
    <row r="93" spans="1:11">
      <c r="A93" s="1">
        <v>43924</v>
      </c>
      <c r="B93" s="2">
        <v>0.55869212962962966</v>
      </c>
      <c r="C93" s="22">
        <v>0</v>
      </c>
      <c r="D93" s="22">
        <v>3.073</v>
      </c>
      <c r="E93" s="22">
        <v>16.994</v>
      </c>
      <c r="F93" s="3">
        <f t="shared" si="4"/>
        <v>1.0282258</v>
      </c>
      <c r="G93" s="4">
        <f t="shared" si="5"/>
        <v>748.43195207161193</v>
      </c>
      <c r="H93" s="22" t="s">
        <v>35</v>
      </c>
      <c r="I93" s="22">
        <f t="shared" si="6"/>
        <v>14.999999999999947</v>
      </c>
      <c r="J93" s="5">
        <f t="shared" si="7"/>
        <v>11226.479281074138</v>
      </c>
      <c r="K93" s="22"/>
    </row>
    <row r="94" spans="1:11">
      <c r="A94" s="1">
        <v>43924</v>
      </c>
      <c r="B94" s="2">
        <v>0.56910879629629629</v>
      </c>
      <c r="C94" s="22">
        <v>0</v>
      </c>
      <c r="D94" s="22">
        <v>3.032</v>
      </c>
      <c r="E94" s="22">
        <v>17.010999999999999</v>
      </c>
      <c r="F94" s="3">
        <f t="shared" si="4"/>
        <v>1.0145071999999999</v>
      </c>
      <c r="G94" s="4">
        <f t="shared" si="5"/>
        <v>722.45462331397516</v>
      </c>
      <c r="H94" s="22" t="s">
        <v>35</v>
      </c>
      <c r="I94" s="22">
        <f t="shared" si="6"/>
        <v>15.000000000000107</v>
      </c>
      <c r="J94" s="5">
        <f t="shared" si="7"/>
        <v>10836.819349709704</v>
      </c>
      <c r="K94" s="22"/>
    </row>
    <row r="95" spans="1:11">
      <c r="A95" s="1">
        <v>43924</v>
      </c>
      <c r="B95" s="2">
        <v>0.57952546296296303</v>
      </c>
      <c r="C95" s="22">
        <v>0</v>
      </c>
      <c r="D95" s="22">
        <v>2.968</v>
      </c>
      <c r="E95" s="22">
        <v>17.045999999999999</v>
      </c>
      <c r="F95" s="3">
        <f t="shared" si="4"/>
        <v>0.9930928</v>
      </c>
      <c r="G95" s="4">
        <f t="shared" si="5"/>
        <v>683.03480563280209</v>
      </c>
      <c r="H95" s="22" t="s">
        <v>35</v>
      </c>
      <c r="I95" s="22">
        <f t="shared" si="6"/>
        <v>14.999999999999947</v>
      </c>
      <c r="J95" s="5">
        <f t="shared" si="7"/>
        <v>10245.522084491995</v>
      </c>
      <c r="K95" s="22"/>
    </row>
    <row r="96" spans="1:11">
      <c r="A96" s="1">
        <v>43924</v>
      </c>
      <c r="B96" s="2">
        <v>0.58994212962962966</v>
      </c>
      <c r="C96" s="22">
        <v>0</v>
      </c>
      <c r="D96" s="22">
        <v>2.9249999999999998</v>
      </c>
      <c r="E96" s="22">
        <v>17.128</v>
      </c>
      <c r="F96" s="3">
        <f t="shared" si="4"/>
        <v>0.97870499999999994</v>
      </c>
      <c r="G96" s="4">
        <f t="shared" si="5"/>
        <v>657.31542805038725</v>
      </c>
      <c r="H96" s="22" t="s">
        <v>35</v>
      </c>
      <c r="I96" s="22">
        <f t="shared" si="6"/>
        <v>14.999999999999947</v>
      </c>
      <c r="J96" s="5">
        <f t="shared" si="7"/>
        <v>9859.7314207557738</v>
      </c>
      <c r="K96" s="22"/>
    </row>
    <row r="97" spans="1:10">
      <c r="A97" s="1">
        <v>43924</v>
      </c>
      <c r="B97" s="2">
        <v>0.60035879629629629</v>
      </c>
      <c r="C97" s="22">
        <v>0</v>
      </c>
      <c r="D97" s="22">
        <v>3.0409999999999999</v>
      </c>
      <c r="E97" s="22">
        <v>17.239000000000001</v>
      </c>
      <c r="F97" s="3">
        <f t="shared" si="4"/>
        <v>1.0175186000000001</v>
      </c>
      <c r="G97" s="4">
        <f t="shared" si="5"/>
        <v>728.10828299903312</v>
      </c>
      <c r="H97" s="22" t="s">
        <v>35</v>
      </c>
      <c r="I97" s="22">
        <f t="shared" si="6"/>
        <v>15.000000000000107</v>
      </c>
      <c r="J97" s="5">
        <f t="shared" si="7"/>
        <v>10921.624244985574</v>
      </c>
    </row>
    <row r="98" spans="1:10">
      <c r="A98" s="1">
        <v>43924</v>
      </c>
      <c r="B98" s="2">
        <v>0.61077546296296303</v>
      </c>
      <c r="C98" s="22">
        <v>0</v>
      </c>
      <c r="D98" s="22">
        <v>3.0219999999999998</v>
      </c>
      <c r="E98" s="22">
        <v>17.38</v>
      </c>
      <c r="F98" s="3">
        <f t="shared" si="4"/>
        <v>1.0111611999999999</v>
      </c>
      <c r="G98" s="4">
        <f t="shared" si="5"/>
        <v>716.20478209294686</v>
      </c>
      <c r="H98" s="22" t="s">
        <v>35</v>
      </c>
      <c r="I98" s="22">
        <v>15</v>
      </c>
      <c r="J98" s="5">
        <f t="shared" si="7"/>
        <v>10743.071731394202</v>
      </c>
    </row>
  </sheetData>
  <sheetProtection sheet="1" objects="1" scenarios="1"/>
  <conditionalFormatting sqref="F2:F89">
    <cfRule type="cellIs" dxfId="3" priority="4" operator="lessThan">
      <formula>0.15</formula>
    </cfRule>
  </conditionalFormatting>
  <conditionalFormatting sqref="F2:F89">
    <cfRule type="cellIs" dxfId="2" priority="3" operator="lessThan">
      <formula>0.06</formula>
    </cfRule>
  </conditionalFormatting>
  <conditionalFormatting sqref="F90:F98">
    <cfRule type="cellIs" dxfId="1" priority="2" operator="lessThan">
      <formula>0.15</formula>
    </cfRule>
  </conditionalFormatting>
  <conditionalFormatting sqref="F90:F98">
    <cfRule type="cellIs" dxfId="0" priority="1" operator="lessThan">
      <formula>0.06</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77B50-1F90-4B5B-B452-271099A94E49}">
  <sheetPr>
    <tabColor rgb="FFF6ACEB"/>
  </sheetPr>
  <dimension ref="A3:E89"/>
  <sheetViews>
    <sheetView view="pageBreakPreview" zoomScaleNormal="100" zoomScaleSheetLayoutView="100" workbookViewId="0">
      <selection activeCell="I14" sqref="I14"/>
    </sheetView>
  </sheetViews>
  <sheetFormatPr defaultColWidth="8.7109375" defaultRowHeight="12.75"/>
  <cols>
    <col min="1" max="1" width="42.85546875" style="28" customWidth="1"/>
    <col min="2" max="2" width="16.28515625" style="28" customWidth="1"/>
    <col min="3" max="3" width="10.5703125" style="28" customWidth="1"/>
    <col min="4" max="4" width="8.7109375" style="28"/>
    <col min="5" max="5" width="42.85546875" style="28" customWidth="1"/>
    <col min="6" max="16384" width="8.7109375" style="28"/>
  </cols>
  <sheetData>
    <row r="3" spans="2:4" ht="22.5" customHeight="1">
      <c r="B3" s="203">
        <f>K6*AdjDownstreamOffsiteGW!$C$7</f>
        <v>0</v>
      </c>
      <c r="C3" s="203" t="s">
        <v>646</v>
      </c>
      <c r="D3" s="203" t="s">
        <v>647</v>
      </c>
    </row>
    <row r="4" spans="2:4" s="200" customFormat="1" ht="18" customHeight="1">
      <c r="B4" s="199" t="s">
        <v>648</v>
      </c>
      <c r="C4" s="199">
        <v>14.2</v>
      </c>
      <c r="D4" s="199" t="s">
        <v>649</v>
      </c>
    </row>
    <row r="5" spans="2:4" s="200" customFormat="1" ht="18" customHeight="1">
      <c r="B5" s="199" t="s">
        <v>650</v>
      </c>
      <c r="C5" s="199">
        <v>1.7</v>
      </c>
      <c r="D5" s="199" t="s">
        <v>649</v>
      </c>
    </row>
    <row r="6" spans="2:4" s="200" customFormat="1" ht="18" customHeight="1">
      <c r="B6" s="199" t="s">
        <v>651</v>
      </c>
      <c r="C6" s="199">
        <v>4.5</v>
      </c>
      <c r="D6" s="199" t="s">
        <v>649</v>
      </c>
    </row>
    <row r="7" spans="2:4" s="200" customFormat="1" ht="18" customHeight="1">
      <c r="B7" s="199" t="s">
        <v>652</v>
      </c>
      <c r="C7" s="201">
        <f>(C5+2*C6)/(2*C4)</f>
        <v>0.37676056338028169</v>
      </c>
      <c r="D7" s="202" t="s">
        <v>62</v>
      </c>
    </row>
    <row r="8" spans="2:4" ht="15.75">
      <c r="B8" s="52"/>
      <c r="C8" s="52"/>
      <c r="D8" s="52"/>
    </row>
    <row r="38" ht="3.6" customHeight="1"/>
    <row r="39" s="25" customFormat="1" ht="14.1" customHeight="1"/>
    <row r="40" s="25" customFormat="1" ht="14.1" customHeight="1"/>
    <row r="41" s="25" customFormat="1" ht="14.1" customHeight="1"/>
    <row r="42" s="25" customFormat="1" ht="14.1" customHeight="1"/>
    <row r="43" s="25" customFormat="1" ht="14.1" customHeight="1"/>
    <row r="44" s="25" customFormat="1" ht="14.1" customHeight="1"/>
    <row r="45" s="25" customFormat="1" ht="6.6" customHeight="1"/>
    <row r="47" s="25" customFormat="1" ht="24.6" customHeight="1"/>
    <row r="48" s="25" customFormat="1" ht="14.1" customHeight="1"/>
    <row r="49" s="25" customFormat="1"/>
    <row r="50" hidden="1"/>
    <row r="65" spans="1:5" ht="12.75" customHeight="1">
      <c r="A65" s="30" t="s">
        <v>137</v>
      </c>
      <c r="B65" s="30"/>
      <c r="C65" s="38"/>
      <c r="D65" s="38"/>
      <c r="E65" s="46"/>
    </row>
    <row r="66" spans="1:5">
      <c r="A66" s="31" t="s">
        <v>138</v>
      </c>
      <c r="B66" s="31"/>
      <c r="C66" s="31"/>
      <c r="D66" s="31"/>
      <c r="E66" s="46"/>
    </row>
    <row r="67" spans="1:5">
      <c r="A67" s="31" t="s">
        <v>140</v>
      </c>
      <c r="B67" s="31"/>
      <c r="C67" s="31"/>
      <c r="D67" s="31"/>
      <c r="E67" s="46"/>
    </row>
    <row r="68" spans="1:5">
      <c r="A68" s="31" t="s">
        <v>142</v>
      </c>
      <c r="B68" s="31"/>
      <c r="C68" s="33"/>
      <c r="D68" s="33"/>
      <c r="E68" s="46"/>
    </row>
    <row r="69" spans="1:5">
      <c r="A69" s="38"/>
      <c r="B69" s="38"/>
      <c r="C69" s="38"/>
      <c r="D69" s="38"/>
      <c r="E69" s="46"/>
    </row>
    <row r="70" spans="1:5">
      <c r="A70" s="39" t="s">
        <v>143</v>
      </c>
      <c r="B70" s="39"/>
      <c r="C70" s="38"/>
      <c r="D70" s="38"/>
    </row>
    <row r="71" spans="1:5">
      <c r="A71" s="40" t="s">
        <v>144</v>
      </c>
      <c r="B71" s="40"/>
      <c r="C71" s="38"/>
      <c r="D71" s="38"/>
    </row>
    <row r="72" spans="1:5">
      <c r="A72" s="41" t="s">
        <v>145</v>
      </c>
      <c r="B72" s="41"/>
      <c r="C72" s="38"/>
      <c r="D72" s="38"/>
    </row>
    <row r="73" spans="1:5" ht="13.5">
      <c r="A73" s="41" t="s">
        <v>146</v>
      </c>
      <c r="B73" s="41"/>
      <c r="C73" s="38"/>
      <c r="D73" s="38"/>
    </row>
    <row r="74" spans="1:5" ht="13.5">
      <c r="A74" s="41" t="s">
        <v>147</v>
      </c>
      <c r="B74" s="41"/>
      <c r="C74" s="38"/>
      <c r="D74" s="38"/>
    </row>
    <row r="75" spans="1:5">
      <c r="A75" s="41" t="s">
        <v>148</v>
      </c>
      <c r="B75" s="41"/>
      <c r="C75" s="38"/>
      <c r="D75" s="38"/>
    </row>
    <row r="76" spans="1:5">
      <c r="A76" s="41"/>
      <c r="B76" s="41"/>
      <c r="C76" s="38"/>
      <c r="D76" s="38"/>
    </row>
    <row r="77" spans="1:5">
      <c r="A77" s="30" t="s">
        <v>149</v>
      </c>
      <c r="B77" s="30"/>
      <c r="C77" s="38"/>
      <c r="D77" s="38"/>
      <c r="E77" s="46"/>
    </row>
    <row r="78" spans="1:5">
      <c r="A78" s="362" t="s">
        <v>150</v>
      </c>
      <c r="B78" s="362"/>
      <c r="C78" s="362"/>
      <c r="D78" s="362"/>
      <c r="E78" s="362"/>
    </row>
    <row r="79" spans="1:5">
      <c r="A79" s="363" t="s">
        <v>151</v>
      </c>
      <c r="B79" s="363"/>
      <c r="C79" s="363"/>
      <c r="D79" s="363"/>
      <c r="E79" s="363"/>
    </row>
    <row r="80" spans="1:5">
      <c r="A80" s="363"/>
      <c r="B80" s="363"/>
      <c r="C80" s="363"/>
      <c r="D80" s="363"/>
      <c r="E80" s="363"/>
    </row>
    <row r="81" spans="1:5" ht="13.5">
      <c r="A81" s="37" t="s">
        <v>152</v>
      </c>
      <c r="B81" s="37"/>
      <c r="C81" s="38"/>
      <c r="D81" s="38"/>
      <c r="E81" s="46"/>
    </row>
    <row r="82" spans="1:5">
      <c r="A82" s="44"/>
      <c r="B82" s="44"/>
      <c r="E82" s="46"/>
    </row>
    <row r="83" spans="1:5">
      <c r="A83" s="44"/>
      <c r="B83" s="44"/>
      <c r="E83" s="46"/>
    </row>
    <row r="84" spans="1:5">
      <c r="E84" s="46"/>
    </row>
    <row r="85" spans="1:5">
      <c r="E85" s="46"/>
    </row>
    <row r="86" spans="1:5">
      <c r="A86" s="44" t="s">
        <v>153</v>
      </c>
      <c r="B86" s="44"/>
      <c r="E86" s="46"/>
    </row>
    <row r="87" spans="1:5">
      <c r="A87" s="44" t="s">
        <v>154</v>
      </c>
      <c r="B87" s="44"/>
      <c r="E87" s="46"/>
    </row>
    <row r="88" spans="1:5">
      <c r="A88" s="28" t="s">
        <v>155</v>
      </c>
      <c r="E88" s="46"/>
    </row>
    <row r="89" spans="1:5">
      <c r="A89" s="28" t="s">
        <v>156</v>
      </c>
      <c r="E89" s="46"/>
    </row>
  </sheetData>
  <sheetProtection sheet="1" objects="1" scenarios="1"/>
  <mergeCells count="2">
    <mergeCell ref="A78:E78"/>
    <mergeCell ref="A79:E80"/>
  </mergeCells>
  <printOptions horizontalCentered="1"/>
  <pageMargins left="0.7" right="0.7" top="1" bottom="0.59499999999999997" header="0.3" footer="0.3"/>
  <pageSetup orientation="landscape" verticalDpi="300" r:id="rId1"/>
  <headerFooter>
    <oddHeader>&amp;C&amp;"Times New Roman,Bold"&amp;KFF0000DRAFT &amp;K01+000TABLE K-1
OFFSITE AND ADJACENT DOWNSTREAM GROUNDWATER MASS DISCHARGE SCALING FACTOR
Chemours Fayetteville Works, North Carolina&amp;R&amp;"Times New Roman,Regular"&amp;10Geosyntec Consultants of NC, PC</oddHeader>
    <oddFooter>&amp;L&amp;"Times New Roman,Regular"&amp;10Page &amp;P of &amp;N&amp;C&amp;"Times New Roman,Regular"&amp;10CONFIDENTIAL -- ATTORNEY CLIENT PRIVILEDGED --
ATTORNEY WORK PRODUCT&amp;R&amp;"Times New Roman,Regular"&amp;10July 2020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9BA19-84A3-4FED-8198-061683A169E0}">
  <sheetPr>
    <tabColor rgb="FFCCCCFF"/>
  </sheetPr>
  <dimension ref="A1:H224"/>
  <sheetViews>
    <sheetView workbookViewId="0">
      <selection activeCell="F33" sqref="F33"/>
    </sheetView>
  </sheetViews>
  <sheetFormatPr defaultColWidth="9.140625" defaultRowHeight="15"/>
  <cols>
    <col min="1" max="5" width="9.140625" style="22"/>
    <col min="6" max="6" width="14.7109375" style="22" customWidth="1"/>
    <col min="7" max="16384" width="9.140625" style="22"/>
  </cols>
  <sheetData>
    <row r="1" spans="1:1">
      <c r="A1" s="51" t="s">
        <v>218</v>
      </c>
    </row>
    <row r="2" spans="1:1">
      <c r="A2" s="51" t="s">
        <v>219</v>
      </c>
    </row>
    <row r="3" spans="1:1">
      <c r="A3" s="51" t="s">
        <v>220</v>
      </c>
    </row>
    <row r="4" spans="1:1">
      <c r="A4" s="51" t="s">
        <v>221</v>
      </c>
    </row>
    <row r="5" spans="1:1">
      <c r="A5" s="51" t="s">
        <v>222</v>
      </c>
    </row>
    <row r="6" spans="1:1">
      <c r="A6" s="51" t="s">
        <v>223</v>
      </c>
    </row>
    <row r="7" spans="1:1">
      <c r="A7" s="51" t="s">
        <v>224</v>
      </c>
    </row>
    <row r="8" spans="1:1">
      <c r="A8" s="51" t="s">
        <v>225</v>
      </c>
    </row>
    <row r="9" spans="1:1">
      <c r="A9" s="51" t="s">
        <v>224</v>
      </c>
    </row>
    <row r="10" spans="1:1">
      <c r="A10" s="51" t="s">
        <v>226</v>
      </c>
    </row>
    <row r="11" spans="1:1">
      <c r="A11" s="51" t="s">
        <v>227</v>
      </c>
    </row>
    <row r="12" spans="1:1">
      <c r="A12" s="51" t="s">
        <v>224</v>
      </c>
    </row>
    <row r="13" spans="1:1">
      <c r="A13" s="51" t="s">
        <v>228</v>
      </c>
    </row>
    <row r="14" spans="1:1">
      <c r="A14" s="51" t="s">
        <v>653</v>
      </c>
    </row>
    <row r="15" spans="1:1">
      <c r="A15" s="51" t="s">
        <v>224</v>
      </c>
    </row>
    <row r="16" spans="1:1">
      <c r="A16" s="51" t="s">
        <v>230</v>
      </c>
    </row>
    <row r="17" spans="1:8">
      <c r="A17" s="51" t="s">
        <v>654</v>
      </c>
    </row>
    <row r="18" spans="1:8">
      <c r="A18" s="51" t="s">
        <v>232</v>
      </c>
    </row>
    <row r="19" spans="1:8">
      <c r="A19" s="51" t="s">
        <v>224</v>
      </c>
    </row>
    <row r="20" spans="1:8">
      <c r="A20" s="51" t="s">
        <v>655</v>
      </c>
    </row>
    <row r="21" spans="1:8">
      <c r="A21" s="51" t="s">
        <v>234</v>
      </c>
    </row>
    <row r="22" spans="1:8">
      <c r="A22" s="51" t="s">
        <v>656</v>
      </c>
    </row>
    <row r="23" spans="1:8">
      <c r="A23" s="51" t="s">
        <v>657</v>
      </c>
    </row>
    <row r="24" spans="1:8">
      <c r="A24" s="51" t="s">
        <v>658</v>
      </c>
    </row>
    <row r="25" spans="1:8">
      <c r="A25" s="51" t="s">
        <v>224</v>
      </c>
    </row>
    <row r="26" spans="1:8">
      <c r="A26" s="51" t="s">
        <v>238</v>
      </c>
    </row>
    <row r="27" spans="1:8">
      <c r="A27" s="51" t="s">
        <v>240</v>
      </c>
    </row>
    <row r="28" spans="1:8">
      <c r="A28" s="51" t="s">
        <v>241</v>
      </c>
    </row>
    <row r="29" spans="1:8">
      <c r="A29" s="51" t="s">
        <v>659</v>
      </c>
    </row>
    <row r="30" spans="1:8">
      <c r="A30" s="51" t="s">
        <v>243</v>
      </c>
    </row>
    <row r="31" spans="1:8">
      <c r="A31" s="51"/>
    </row>
    <row r="32" spans="1:8" ht="45">
      <c r="B32" s="20" t="s">
        <v>244</v>
      </c>
      <c r="C32" s="20" t="s">
        <v>245</v>
      </c>
      <c r="D32" s="20" t="s">
        <v>660</v>
      </c>
      <c r="E32" s="22" t="s">
        <v>249</v>
      </c>
      <c r="F32" s="22" t="s">
        <v>628</v>
      </c>
      <c r="G32" s="20" t="s">
        <v>661</v>
      </c>
      <c r="H32" s="20" t="s">
        <v>662</v>
      </c>
    </row>
    <row r="33" spans="1:8">
      <c r="A33" s="22">
        <v>2105769</v>
      </c>
      <c r="B33" s="1">
        <v>43927</v>
      </c>
      <c r="C33" s="19">
        <v>0</v>
      </c>
      <c r="D33" s="22">
        <v>3010</v>
      </c>
      <c r="E33" s="5">
        <f t="shared" ref="E33:E96" si="0">CONVERT((C34-C33),"day","sec")</f>
        <v>900</v>
      </c>
      <c r="F33" s="21">
        <f t="shared" ref="F33:F96" si="1">D33*E33*7.4805</f>
        <v>20264674.5</v>
      </c>
      <c r="G33" s="22">
        <v>16.170000000000002</v>
      </c>
      <c r="H33" s="22">
        <v>0</v>
      </c>
    </row>
    <row r="34" spans="1:8">
      <c r="A34" s="22">
        <v>2105769</v>
      </c>
      <c r="B34" s="1">
        <v>43927</v>
      </c>
      <c r="C34" s="19">
        <v>1.0416666666666666E-2</v>
      </c>
      <c r="D34" s="22">
        <v>3010</v>
      </c>
      <c r="E34" s="5">
        <f t="shared" si="0"/>
        <v>900</v>
      </c>
      <c r="F34" s="21">
        <f t="shared" si="1"/>
        <v>20264674.5</v>
      </c>
      <c r="G34" s="22">
        <v>16.170000000000002</v>
      </c>
      <c r="H34" s="22">
        <v>0</v>
      </c>
    </row>
    <row r="35" spans="1:8">
      <c r="A35" s="22">
        <v>2105769</v>
      </c>
      <c r="B35" s="1">
        <v>43927</v>
      </c>
      <c r="C35" s="19">
        <v>2.0833333333333332E-2</v>
      </c>
      <c r="D35" s="22">
        <v>3010</v>
      </c>
      <c r="E35" s="5">
        <f t="shared" si="0"/>
        <v>900.00000000000011</v>
      </c>
      <c r="F35" s="21">
        <f t="shared" si="1"/>
        <v>20264674.500000004</v>
      </c>
      <c r="G35" s="22">
        <v>16.170000000000002</v>
      </c>
      <c r="H35" s="22">
        <v>0</v>
      </c>
    </row>
    <row r="36" spans="1:8">
      <c r="A36" s="22">
        <v>2105769</v>
      </c>
      <c r="B36" s="1">
        <v>43927</v>
      </c>
      <c r="C36" s="19">
        <v>3.125E-2</v>
      </c>
      <c r="D36" s="22">
        <v>3010</v>
      </c>
      <c r="E36" s="5">
        <f t="shared" si="0"/>
        <v>899.99999999999977</v>
      </c>
      <c r="F36" s="21">
        <f t="shared" si="1"/>
        <v>20264674.499999996</v>
      </c>
      <c r="G36" s="22">
        <v>16.170000000000002</v>
      </c>
      <c r="H36" s="22">
        <v>0</v>
      </c>
    </row>
    <row r="37" spans="1:8">
      <c r="A37" s="22">
        <v>2105769</v>
      </c>
      <c r="B37" s="1">
        <v>43927</v>
      </c>
      <c r="C37" s="19">
        <v>4.1666666666666664E-2</v>
      </c>
      <c r="D37" s="22">
        <v>2990</v>
      </c>
      <c r="E37" s="5">
        <f t="shared" si="0"/>
        <v>900.00000000000045</v>
      </c>
      <c r="F37" s="21">
        <f t="shared" si="1"/>
        <v>20130025.500000011</v>
      </c>
      <c r="G37" s="22">
        <v>16.16</v>
      </c>
      <c r="H37" s="22">
        <v>0</v>
      </c>
    </row>
    <row r="38" spans="1:8">
      <c r="A38" s="22">
        <v>2105769</v>
      </c>
      <c r="B38" s="1">
        <v>43927</v>
      </c>
      <c r="C38" s="19">
        <v>5.2083333333333336E-2</v>
      </c>
      <c r="D38" s="22">
        <v>2990</v>
      </c>
      <c r="E38" s="5">
        <f t="shared" si="0"/>
        <v>899.99999999999977</v>
      </c>
      <c r="F38" s="21">
        <f t="shared" si="1"/>
        <v>20130025.499999996</v>
      </c>
      <c r="G38" s="22">
        <v>16.16</v>
      </c>
      <c r="H38" s="22">
        <v>0</v>
      </c>
    </row>
    <row r="39" spans="1:8">
      <c r="A39" s="22">
        <v>2105769</v>
      </c>
      <c r="B39" s="1">
        <v>43927</v>
      </c>
      <c r="C39" s="19">
        <v>6.25E-2</v>
      </c>
      <c r="D39" s="22">
        <v>2990</v>
      </c>
      <c r="E39" s="5">
        <f t="shared" si="0"/>
        <v>900.00000000000045</v>
      </c>
      <c r="F39" s="21">
        <f t="shared" si="1"/>
        <v>20130025.500000011</v>
      </c>
      <c r="G39" s="22">
        <v>16.16</v>
      </c>
      <c r="H39" s="22">
        <v>0</v>
      </c>
    </row>
    <row r="40" spans="1:8">
      <c r="A40" s="22">
        <v>2105769</v>
      </c>
      <c r="B40" s="1">
        <v>43927</v>
      </c>
      <c r="C40" s="19">
        <v>7.2916666666666671E-2</v>
      </c>
      <c r="D40" s="22">
        <v>2990</v>
      </c>
      <c r="E40" s="5">
        <f t="shared" si="0"/>
        <v>899.9999999999992</v>
      </c>
      <c r="F40" s="21">
        <f t="shared" si="1"/>
        <v>20130025.499999981</v>
      </c>
      <c r="G40" s="22">
        <v>16.16</v>
      </c>
      <c r="H40" s="22">
        <v>0</v>
      </c>
    </row>
    <row r="41" spans="1:8">
      <c r="A41" s="22">
        <v>2105769</v>
      </c>
      <c r="B41" s="1">
        <v>43927</v>
      </c>
      <c r="C41" s="19">
        <v>8.3333333333333329E-2</v>
      </c>
      <c r="D41" s="22">
        <v>2970</v>
      </c>
      <c r="E41" s="5">
        <f t="shared" si="0"/>
        <v>900.00000000000045</v>
      </c>
      <c r="F41" s="21">
        <f t="shared" si="1"/>
        <v>19995376.500000011</v>
      </c>
      <c r="G41" s="22">
        <v>16.149999999999999</v>
      </c>
      <c r="H41" s="22">
        <v>0</v>
      </c>
    </row>
    <row r="42" spans="1:8">
      <c r="A42" s="22">
        <v>2105769</v>
      </c>
      <c r="B42" s="1">
        <v>43927</v>
      </c>
      <c r="C42" s="19">
        <v>9.375E-2</v>
      </c>
      <c r="D42" s="22">
        <v>2970</v>
      </c>
      <c r="E42" s="5">
        <f t="shared" si="0"/>
        <v>900.00000000000045</v>
      </c>
      <c r="F42" s="21">
        <f t="shared" si="1"/>
        <v>19995376.500000011</v>
      </c>
      <c r="G42" s="22">
        <v>16.149999999999999</v>
      </c>
      <c r="H42" s="22">
        <v>0</v>
      </c>
    </row>
    <row r="43" spans="1:8">
      <c r="A43" s="22">
        <v>2105769</v>
      </c>
      <c r="B43" s="1">
        <v>43927</v>
      </c>
      <c r="C43" s="19">
        <v>0.10416666666666667</v>
      </c>
      <c r="D43" s="22">
        <v>2970</v>
      </c>
      <c r="E43" s="5">
        <f t="shared" si="0"/>
        <v>899.9999999999992</v>
      </c>
      <c r="F43" s="21">
        <f t="shared" si="1"/>
        <v>19995376.499999981</v>
      </c>
      <c r="G43" s="22">
        <v>16.149999999999999</v>
      </c>
      <c r="H43" s="22">
        <v>0</v>
      </c>
    </row>
    <row r="44" spans="1:8">
      <c r="A44" s="22">
        <v>2105769</v>
      </c>
      <c r="B44" s="1">
        <v>43927</v>
      </c>
      <c r="C44" s="19">
        <v>0.11458333333333333</v>
      </c>
      <c r="D44" s="22">
        <v>2970</v>
      </c>
      <c r="E44" s="5">
        <f t="shared" si="0"/>
        <v>900.00000000000045</v>
      </c>
      <c r="F44" s="21">
        <f t="shared" si="1"/>
        <v>19995376.500000011</v>
      </c>
      <c r="G44" s="22">
        <v>16.149999999999999</v>
      </c>
      <c r="H44" s="22">
        <v>0</v>
      </c>
    </row>
    <row r="45" spans="1:8">
      <c r="A45" s="22">
        <v>2105769</v>
      </c>
      <c r="B45" s="1">
        <v>43927</v>
      </c>
      <c r="C45" s="19">
        <v>0.125</v>
      </c>
      <c r="D45" s="22">
        <v>2970</v>
      </c>
      <c r="E45" s="5">
        <f t="shared" si="0"/>
        <v>899.9999999999992</v>
      </c>
      <c r="F45" s="21">
        <f t="shared" si="1"/>
        <v>19995376.499999981</v>
      </c>
      <c r="G45" s="22">
        <v>16.149999999999999</v>
      </c>
      <c r="H45" s="22">
        <v>0</v>
      </c>
    </row>
    <row r="46" spans="1:8">
      <c r="A46" s="22">
        <v>2105769</v>
      </c>
      <c r="B46" s="1">
        <v>43927</v>
      </c>
      <c r="C46" s="19">
        <v>0.13541666666666666</v>
      </c>
      <c r="D46" s="22">
        <v>2970</v>
      </c>
      <c r="E46" s="5">
        <f t="shared" si="0"/>
        <v>900.00000000000159</v>
      </c>
      <c r="F46" s="21">
        <f t="shared" si="1"/>
        <v>19995376.500000034</v>
      </c>
      <c r="G46" s="22">
        <v>16.149999999999999</v>
      </c>
      <c r="H46" s="22">
        <v>0</v>
      </c>
    </row>
    <row r="47" spans="1:8">
      <c r="A47" s="22">
        <v>2105769</v>
      </c>
      <c r="B47" s="1">
        <v>43927</v>
      </c>
      <c r="C47" s="19">
        <v>0.14583333333333334</v>
      </c>
      <c r="D47" s="22">
        <v>2970</v>
      </c>
      <c r="E47" s="5">
        <f t="shared" si="0"/>
        <v>899.9999999999992</v>
      </c>
      <c r="F47" s="21">
        <f t="shared" si="1"/>
        <v>19995376.499999981</v>
      </c>
      <c r="G47" s="22">
        <v>16.149999999999999</v>
      </c>
      <c r="H47" s="22">
        <v>0</v>
      </c>
    </row>
    <row r="48" spans="1:8">
      <c r="A48" s="22">
        <v>2105769</v>
      </c>
      <c r="B48" s="1">
        <v>43927</v>
      </c>
      <c r="C48" s="19">
        <v>0.15625</v>
      </c>
      <c r="D48" s="22">
        <v>2950</v>
      </c>
      <c r="E48" s="5">
        <f t="shared" si="0"/>
        <v>899.9999999999992</v>
      </c>
      <c r="F48" s="21">
        <f t="shared" si="1"/>
        <v>19860727.499999981</v>
      </c>
      <c r="G48" s="22">
        <v>16.14</v>
      </c>
      <c r="H48" s="22">
        <v>0</v>
      </c>
    </row>
    <row r="49" spans="1:8">
      <c r="A49" s="22">
        <v>2105769</v>
      </c>
      <c r="B49" s="1">
        <v>43927</v>
      </c>
      <c r="C49" s="19">
        <v>0.16666666666666666</v>
      </c>
      <c r="D49" s="22">
        <v>2950</v>
      </c>
      <c r="E49" s="5">
        <f t="shared" si="0"/>
        <v>900.00000000000159</v>
      </c>
      <c r="F49" s="21">
        <f t="shared" si="1"/>
        <v>19860727.500000034</v>
      </c>
      <c r="G49" s="22">
        <v>16.14</v>
      </c>
      <c r="H49" s="22">
        <v>0</v>
      </c>
    </row>
    <row r="50" spans="1:8">
      <c r="A50" s="22">
        <v>2105769</v>
      </c>
      <c r="B50" s="1">
        <v>43927</v>
      </c>
      <c r="C50" s="19">
        <v>0.17708333333333334</v>
      </c>
      <c r="D50" s="22">
        <v>2950</v>
      </c>
      <c r="E50" s="5">
        <f t="shared" si="0"/>
        <v>899.9999999999992</v>
      </c>
      <c r="F50" s="21">
        <f t="shared" si="1"/>
        <v>19860727.499999981</v>
      </c>
      <c r="G50" s="22">
        <v>16.14</v>
      </c>
      <c r="H50" s="22">
        <v>0</v>
      </c>
    </row>
    <row r="51" spans="1:8">
      <c r="A51" s="22">
        <v>2105769</v>
      </c>
      <c r="B51" s="1">
        <v>43927</v>
      </c>
      <c r="C51" s="19">
        <v>0.1875</v>
      </c>
      <c r="D51" s="22">
        <v>2950</v>
      </c>
      <c r="E51" s="5">
        <f t="shared" si="0"/>
        <v>899.9999999999992</v>
      </c>
      <c r="F51" s="21">
        <f t="shared" si="1"/>
        <v>19860727.499999981</v>
      </c>
      <c r="G51" s="22">
        <v>16.14</v>
      </c>
      <c r="H51" s="22">
        <v>0</v>
      </c>
    </row>
    <row r="52" spans="1:8">
      <c r="A52" s="22">
        <v>2105769</v>
      </c>
      <c r="B52" s="1">
        <v>43927</v>
      </c>
      <c r="C52" s="19">
        <v>0.19791666666666666</v>
      </c>
      <c r="D52" s="22">
        <v>2950</v>
      </c>
      <c r="E52" s="5">
        <f t="shared" si="0"/>
        <v>900.00000000000159</v>
      </c>
      <c r="F52" s="21">
        <f t="shared" si="1"/>
        <v>19860727.500000034</v>
      </c>
      <c r="G52" s="22">
        <v>16.14</v>
      </c>
      <c r="H52" s="22">
        <v>0</v>
      </c>
    </row>
    <row r="53" spans="1:8">
      <c r="A53" s="22">
        <v>2105769</v>
      </c>
      <c r="B53" s="1">
        <v>43927</v>
      </c>
      <c r="C53" s="19">
        <v>0.20833333333333334</v>
      </c>
      <c r="D53" s="22">
        <v>2950</v>
      </c>
      <c r="E53" s="5">
        <f t="shared" si="0"/>
        <v>899.9999999999992</v>
      </c>
      <c r="F53" s="21">
        <f t="shared" si="1"/>
        <v>19860727.499999981</v>
      </c>
      <c r="G53" s="22">
        <v>16.14</v>
      </c>
      <c r="H53" s="22">
        <v>0</v>
      </c>
    </row>
    <row r="54" spans="1:8">
      <c r="A54" s="22">
        <v>2105769</v>
      </c>
      <c r="B54" s="1">
        <v>43927</v>
      </c>
      <c r="C54" s="19">
        <v>0.21875</v>
      </c>
      <c r="D54" s="22">
        <v>2950</v>
      </c>
      <c r="E54" s="5">
        <f t="shared" si="0"/>
        <v>899.9999999999992</v>
      </c>
      <c r="F54" s="21">
        <f t="shared" si="1"/>
        <v>19860727.499999981</v>
      </c>
      <c r="G54" s="22">
        <v>16.14</v>
      </c>
      <c r="H54" s="22">
        <v>0</v>
      </c>
    </row>
    <row r="55" spans="1:8">
      <c r="A55" s="22">
        <v>2105769</v>
      </c>
      <c r="B55" s="1">
        <v>43927</v>
      </c>
      <c r="C55" s="19">
        <v>0.22916666666666666</v>
      </c>
      <c r="D55" s="22">
        <v>2950</v>
      </c>
      <c r="E55" s="5">
        <f t="shared" si="0"/>
        <v>900.00000000000159</v>
      </c>
      <c r="F55" s="21">
        <f t="shared" si="1"/>
        <v>19860727.500000034</v>
      </c>
      <c r="G55" s="22">
        <v>16.14</v>
      </c>
      <c r="H55" s="22">
        <v>0</v>
      </c>
    </row>
    <row r="56" spans="1:8">
      <c r="A56" s="22">
        <v>2105769</v>
      </c>
      <c r="B56" s="1">
        <v>43927</v>
      </c>
      <c r="C56" s="19">
        <v>0.23958333333333334</v>
      </c>
      <c r="D56" s="22">
        <v>2950</v>
      </c>
      <c r="E56" s="5">
        <f t="shared" si="0"/>
        <v>899.9999999999992</v>
      </c>
      <c r="F56" s="21">
        <f t="shared" si="1"/>
        <v>19860727.499999981</v>
      </c>
      <c r="G56" s="22">
        <v>16.14</v>
      </c>
      <c r="H56" s="22">
        <v>0</v>
      </c>
    </row>
    <row r="57" spans="1:8">
      <c r="A57" s="22">
        <v>2105769</v>
      </c>
      <c r="B57" s="1">
        <v>43927</v>
      </c>
      <c r="C57" s="19">
        <v>0.25</v>
      </c>
      <c r="D57" s="22">
        <v>2930</v>
      </c>
      <c r="E57" s="5">
        <f t="shared" si="0"/>
        <v>900.00000000000159</v>
      </c>
      <c r="F57" s="21">
        <f t="shared" si="1"/>
        <v>19726078.500000034</v>
      </c>
      <c r="G57" s="22">
        <v>16.13</v>
      </c>
      <c r="H57" s="22">
        <v>0</v>
      </c>
    </row>
    <row r="58" spans="1:8">
      <c r="A58" s="22">
        <v>2105769</v>
      </c>
      <c r="B58" s="1">
        <v>43927</v>
      </c>
      <c r="C58" s="19">
        <v>0.26041666666666669</v>
      </c>
      <c r="D58" s="22">
        <v>2930</v>
      </c>
      <c r="E58" s="5">
        <f t="shared" si="0"/>
        <v>899.99999999999682</v>
      </c>
      <c r="F58" s="21">
        <f t="shared" si="1"/>
        <v>19726078.499999929</v>
      </c>
      <c r="G58" s="22">
        <v>16.13</v>
      </c>
      <c r="H58" s="22">
        <v>0</v>
      </c>
    </row>
    <row r="59" spans="1:8">
      <c r="A59" s="22">
        <v>2105769</v>
      </c>
      <c r="B59" s="1">
        <v>43927</v>
      </c>
      <c r="C59" s="19">
        <v>0.27083333333333331</v>
      </c>
      <c r="D59" s="22">
        <v>2930</v>
      </c>
      <c r="E59" s="5">
        <f t="shared" si="0"/>
        <v>900.00000000000159</v>
      </c>
      <c r="F59" s="21">
        <f t="shared" si="1"/>
        <v>19726078.500000034</v>
      </c>
      <c r="G59" s="22">
        <v>16.13</v>
      </c>
      <c r="H59" s="22">
        <v>0</v>
      </c>
    </row>
    <row r="60" spans="1:8">
      <c r="A60" s="22">
        <v>2105769</v>
      </c>
      <c r="B60" s="1">
        <v>43927</v>
      </c>
      <c r="C60" s="19">
        <v>0.28125</v>
      </c>
      <c r="D60" s="22">
        <v>2930</v>
      </c>
      <c r="E60" s="5">
        <f t="shared" si="0"/>
        <v>900.00000000000159</v>
      </c>
      <c r="F60" s="21">
        <f t="shared" si="1"/>
        <v>19726078.500000034</v>
      </c>
      <c r="G60" s="22">
        <v>16.13</v>
      </c>
      <c r="H60" s="22">
        <v>0</v>
      </c>
    </row>
    <row r="61" spans="1:8">
      <c r="A61" s="22">
        <v>2105769</v>
      </c>
      <c r="B61" s="1">
        <v>43927</v>
      </c>
      <c r="C61" s="19">
        <v>0.29166666666666669</v>
      </c>
      <c r="D61" s="22">
        <v>2930</v>
      </c>
      <c r="E61" s="5">
        <f t="shared" si="0"/>
        <v>899.99999999999682</v>
      </c>
      <c r="F61" s="21">
        <f t="shared" si="1"/>
        <v>19726078.499999929</v>
      </c>
      <c r="G61" s="22">
        <v>16.13</v>
      </c>
      <c r="H61" s="22">
        <v>0</v>
      </c>
    </row>
    <row r="62" spans="1:8">
      <c r="A62" s="22">
        <v>2105769</v>
      </c>
      <c r="B62" s="1">
        <v>43927</v>
      </c>
      <c r="C62" s="19">
        <v>0.30208333333333331</v>
      </c>
      <c r="D62" s="22">
        <v>2930</v>
      </c>
      <c r="E62" s="5">
        <f t="shared" si="0"/>
        <v>900.00000000000159</v>
      </c>
      <c r="F62" s="21">
        <f t="shared" si="1"/>
        <v>19726078.500000034</v>
      </c>
      <c r="G62" s="22">
        <v>16.13</v>
      </c>
      <c r="H62" s="22">
        <v>0</v>
      </c>
    </row>
    <row r="63" spans="1:8">
      <c r="A63" s="22">
        <v>2105769</v>
      </c>
      <c r="B63" s="1">
        <v>43927</v>
      </c>
      <c r="C63" s="19">
        <v>0.3125</v>
      </c>
      <c r="D63" s="22">
        <v>2930</v>
      </c>
      <c r="E63" s="5">
        <f t="shared" si="0"/>
        <v>900.00000000000159</v>
      </c>
      <c r="F63" s="21">
        <f t="shared" si="1"/>
        <v>19726078.500000034</v>
      </c>
      <c r="G63" s="22">
        <v>16.13</v>
      </c>
      <c r="H63" s="22">
        <v>0</v>
      </c>
    </row>
    <row r="64" spans="1:8">
      <c r="A64" s="22">
        <v>2105769</v>
      </c>
      <c r="B64" s="1">
        <v>43927</v>
      </c>
      <c r="C64" s="19">
        <v>0.32291666666666669</v>
      </c>
      <c r="D64" s="22">
        <v>2930</v>
      </c>
      <c r="E64" s="5">
        <f t="shared" si="0"/>
        <v>899.99999999999682</v>
      </c>
      <c r="F64" s="21">
        <f t="shared" si="1"/>
        <v>19726078.499999929</v>
      </c>
      <c r="G64" s="22">
        <v>16.13</v>
      </c>
      <c r="H64" s="22">
        <v>0</v>
      </c>
    </row>
    <row r="65" spans="1:8">
      <c r="A65" s="22">
        <v>2105769</v>
      </c>
      <c r="B65" s="1">
        <v>43927</v>
      </c>
      <c r="C65" s="19">
        <v>0.33333333333333331</v>
      </c>
      <c r="D65" s="22">
        <v>2910</v>
      </c>
      <c r="E65" s="5">
        <f t="shared" si="0"/>
        <v>900.00000000000159</v>
      </c>
      <c r="F65" s="21">
        <f t="shared" si="1"/>
        <v>19591429.500000034</v>
      </c>
      <c r="G65" s="22">
        <v>16.12</v>
      </c>
      <c r="H65" s="22">
        <v>0</v>
      </c>
    </row>
    <row r="66" spans="1:8">
      <c r="A66" s="22">
        <v>2105769</v>
      </c>
      <c r="B66" s="1">
        <v>43927</v>
      </c>
      <c r="C66" s="19">
        <v>0.34375</v>
      </c>
      <c r="D66" s="22">
        <v>2910</v>
      </c>
      <c r="E66" s="5">
        <f t="shared" si="0"/>
        <v>900.00000000000159</v>
      </c>
      <c r="F66" s="21">
        <f t="shared" si="1"/>
        <v>19591429.500000034</v>
      </c>
      <c r="G66" s="22">
        <v>16.12</v>
      </c>
      <c r="H66" s="22">
        <v>0</v>
      </c>
    </row>
    <row r="67" spans="1:8">
      <c r="A67" s="22">
        <v>2105769</v>
      </c>
      <c r="B67" s="1">
        <v>43927</v>
      </c>
      <c r="C67" s="19">
        <v>0.35416666666666669</v>
      </c>
      <c r="D67" s="22">
        <v>2930</v>
      </c>
      <c r="E67" s="5">
        <f t="shared" si="0"/>
        <v>899.99999999999682</v>
      </c>
      <c r="F67" s="21">
        <f t="shared" si="1"/>
        <v>19726078.499999929</v>
      </c>
      <c r="G67" s="22">
        <v>16.13</v>
      </c>
      <c r="H67" s="22">
        <v>0</v>
      </c>
    </row>
    <row r="68" spans="1:8">
      <c r="A68" s="22">
        <v>2105769</v>
      </c>
      <c r="B68" s="1">
        <v>43927</v>
      </c>
      <c r="C68" s="19">
        <v>0.36458333333333331</v>
      </c>
      <c r="D68" s="22">
        <v>2910</v>
      </c>
      <c r="E68" s="5">
        <f t="shared" si="0"/>
        <v>900.00000000000159</v>
      </c>
      <c r="F68" s="21">
        <f t="shared" si="1"/>
        <v>19591429.500000034</v>
      </c>
      <c r="G68" s="22">
        <v>16.12</v>
      </c>
      <c r="H68" s="22">
        <v>0</v>
      </c>
    </row>
    <row r="69" spans="1:8">
      <c r="A69" s="22">
        <v>2105769</v>
      </c>
      <c r="B69" s="1">
        <v>43927</v>
      </c>
      <c r="C69" s="19">
        <v>0.375</v>
      </c>
      <c r="D69" s="22">
        <v>2910</v>
      </c>
      <c r="E69" s="5">
        <f t="shared" si="0"/>
        <v>900.00000000000159</v>
      </c>
      <c r="F69" s="21">
        <f t="shared" si="1"/>
        <v>19591429.500000034</v>
      </c>
      <c r="G69" s="22">
        <v>16.12</v>
      </c>
      <c r="H69" s="22">
        <v>0</v>
      </c>
    </row>
    <row r="70" spans="1:8">
      <c r="A70" s="22">
        <v>2105769</v>
      </c>
      <c r="B70" s="1">
        <v>43927</v>
      </c>
      <c r="C70" s="19">
        <v>0.38541666666666669</v>
      </c>
      <c r="D70" s="22">
        <v>2910</v>
      </c>
      <c r="E70" s="5">
        <f t="shared" si="0"/>
        <v>899.99999999999682</v>
      </c>
      <c r="F70" s="21">
        <f t="shared" si="1"/>
        <v>19591429.499999929</v>
      </c>
      <c r="G70" s="22">
        <v>16.12</v>
      </c>
      <c r="H70" s="22">
        <v>0</v>
      </c>
    </row>
    <row r="71" spans="1:8">
      <c r="A71" s="22">
        <v>2105769</v>
      </c>
      <c r="B71" s="1">
        <v>43927</v>
      </c>
      <c r="C71" s="19">
        <v>0.39583333333333331</v>
      </c>
      <c r="D71" s="22">
        <v>2890</v>
      </c>
      <c r="E71" s="5">
        <f t="shared" si="0"/>
        <v>900.00000000000159</v>
      </c>
      <c r="F71" s="21">
        <f t="shared" si="1"/>
        <v>19456780.500000034</v>
      </c>
      <c r="G71" s="22">
        <v>16.11</v>
      </c>
      <c r="H71" s="22">
        <v>0</v>
      </c>
    </row>
    <row r="72" spans="1:8">
      <c r="A72" s="22">
        <v>2105769</v>
      </c>
      <c r="B72" s="1">
        <v>43927</v>
      </c>
      <c r="C72" s="19">
        <v>0.40625</v>
      </c>
      <c r="D72" s="22">
        <v>2890</v>
      </c>
      <c r="E72" s="5">
        <f t="shared" si="0"/>
        <v>900.00000000000159</v>
      </c>
      <c r="F72" s="21">
        <f t="shared" si="1"/>
        <v>19456780.500000034</v>
      </c>
      <c r="G72" s="22">
        <v>16.11</v>
      </c>
      <c r="H72" s="22">
        <v>0</v>
      </c>
    </row>
    <row r="73" spans="1:8">
      <c r="A73" s="22">
        <v>2105769</v>
      </c>
      <c r="B73" s="1">
        <v>43927</v>
      </c>
      <c r="C73" s="19">
        <v>0.41666666666666669</v>
      </c>
      <c r="D73" s="22">
        <v>2890</v>
      </c>
      <c r="E73" s="5">
        <f t="shared" si="0"/>
        <v>899.99999999999682</v>
      </c>
      <c r="F73" s="21">
        <f t="shared" si="1"/>
        <v>19456780.499999929</v>
      </c>
      <c r="G73" s="22">
        <v>16.11</v>
      </c>
      <c r="H73" s="22">
        <v>0</v>
      </c>
    </row>
    <row r="74" spans="1:8">
      <c r="A74" s="22">
        <v>2105769</v>
      </c>
      <c r="B74" s="1">
        <v>43927</v>
      </c>
      <c r="C74" s="19">
        <v>0.42708333333333331</v>
      </c>
      <c r="D74" s="22">
        <v>2890</v>
      </c>
      <c r="E74" s="5">
        <f t="shared" si="0"/>
        <v>900.00000000000159</v>
      </c>
      <c r="F74" s="21">
        <f t="shared" si="1"/>
        <v>19456780.500000034</v>
      </c>
      <c r="G74" s="22">
        <v>16.11</v>
      </c>
      <c r="H74" s="22">
        <v>0</v>
      </c>
    </row>
    <row r="75" spans="1:8">
      <c r="A75" s="22">
        <v>2105769</v>
      </c>
      <c r="B75" s="1">
        <v>43927</v>
      </c>
      <c r="C75" s="19">
        <v>0.4375</v>
      </c>
      <c r="D75" s="22">
        <v>2890</v>
      </c>
      <c r="E75" s="5">
        <f t="shared" si="0"/>
        <v>900.00000000000159</v>
      </c>
      <c r="F75" s="21">
        <f t="shared" si="1"/>
        <v>19456780.500000034</v>
      </c>
      <c r="G75" s="22">
        <v>16.11</v>
      </c>
      <c r="H75" s="22">
        <v>0</v>
      </c>
    </row>
    <row r="76" spans="1:8">
      <c r="A76" s="22">
        <v>2105769</v>
      </c>
      <c r="B76" s="1">
        <v>43927</v>
      </c>
      <c r="C76" s="19">
        <v>0.44791666666666669</v>
      </c>
      <c r="D76" s="22">
        <v>2890</v>
      </c>
      <c r="E76" s="5">
        <f t="shared" si="0"/>
        <v>899.99999999999682</v>
      </c>
      <c r="F76" s="21">
        <f t="shared" si="1"/>
        <v>19456780.499999929</v>
      </c>
      <c r="G76" s="22">
        <v>16.11</v>
      </c>
      <c r="H76" s="22">
        <v>0</v>
      </c>
    </row>
    <row r="77" spans="1:8">
      <c r="A77" s="22">
        <v>2105769</v>
      </c>
      <c r="B77" s="1">
        <v>43927</v>
      </c>
      <c r="C77" s="19">
        <v>0.45833333333333331</v>
      </c>
      <c r="D77" s="22">
        <v>2890</v>
      </c>
      <c r="E77" s="5">
        <f t="shared" si="0"/>
        <v>900.00000000000159</v>
      </c>
      <c r="F77" s="21">
        <f t="shared" si="1"/>
        <v>19456780.500000034</v>
      </c>
      <c r="G77" s="22">
        <v>16.11</v>
      </c>
      <c r="H77" s="22">
        <v>0</v>
      </c>
    </row>
    <row r="78" spans="1:8">
      <c r="A78" s="22">
        <v>2105769</v>
      </c>
      <c r="B78" s="1">
        <v>43927</v>
      </c>
      <c r="C78" s="19">
        <v>0.46875</v>
      </c>
      <c r="D78" s="22">
        <v>2890</v>
      </c>
      <c r="E78" s="5">
        <f t="shared" si="0"/>
        <v>900.00000000000159</v>
      </c>
      <c r="F78" s="21">
        <f t="shared" si="1"/>
        <v>19456780.500000034</v>
      </c>
      <c r="G78" s="22">
        <v>16.11</v>
      </c>
      <c r="H78" s="22">
        <v>0</v>
      </c>
    </row>
    <row r="79" spans="1:8">
      <c r="A79" s="22">
        <v>2105769</v>
      </c>
      <c r="B79" s="1">
        <v>43927</v>
      </c>
      <c r="C79" s="19">
        <v>0.47916666666666669</v>
      </c>
      <c r="D79" s="22">
        <v>2890</v>
      </c>
      <c r="E79" s="5">
        <f t="shared" si="0"/>
        <v>899.99999999999682</v>
      </c>
      <c r="F79" s="21">
        <f t="shared" si="1"/>
        <v>19456780.499999929</v>
      </c>
      <c r="G79" s="22">
        <v>16.11</v>
      </c>
      <c r="H79" s="22">
        <v>0</v>
      </c>
    </row>
    <row r="80" spans="1:8">
      <c r="A80" s="22">
        <v>2105769</v>
      </c>
      <c r="B80" s="1">
        <v>43927</v>
      </c>
      <c r="C80" s="19">
        <v>0.48958333333333331</v>
      </c>
      <c r="D80" s="22">
        <v>2890</v>
      </c>
      <c r="E80" s="5">
        <f t="shared" si="0"/>
        <v>900.00000000000159</v>
      </c>
      <c r="F80" s="21">
        <f t="shared" si="1"/>
        <v>19456780.500000034</v>
      </c>
      <c r="G80" s="22">
        <v>16.11</v>
      </c>
      <c r="H80" s="22">
        <v>0</v>
      </c>
    </row>
    <row r="81" spans="1:8">
      <c r="A81" s="22">
        <v>2105769</v>
      </c>
      <c r="B81" s="1">
        <v>43927</v>
      </c>
      <c r="C81" s="19">
        <v>0.5</v>
      </c>
      <c r="D81" s="22">
        <v>2890</v>
      </c>
      <c r="E81" s="5">
        <f t="shared" si="0"/>
        <v>899.99999999999682</v>
      </c>
      <c r="F81" s="21">
        <f t="shared" si="1"/>
        <v>19456780.499999929</v>
      </c>
      <c r="G81" s="22">
        <v>16.11</v>
      </c>
      <c r="H81" s="22">
        <v>0</v>
      </c>
    </row>
    <row r="82" spans="1:8">
      <c r="A82" s="22">
        <v>2105769</v>
      </c>
      <c r="B82" s="1">
        <v>43927</v>
      </c>
      <c r="C82" s="19">
        <v>0.51041666666666663</v>
      </c>
      <c r="D82" s="22">
        <v>2890</v>
      </c>
      <c r="E82" s="5">
        <f t="shared" si="0"/>
        <v>900.00000000000637</v>
      </c>
      <c r="F82" s="21">
        <f t="shared" si="1"/>
        <v>19456780.500000142</v>
      </c>
      <c r="G82" s="22">
        <v>16.11</v>
      </c>
      <c r="H82" s="22">
        <v>0</v>
      </c>
    </row>
    <row r="83" spans="1:8">
      <c r="A83" s="22">
        <v>2105769</v>
      </c>
      <c r="B83" s="1">
        <v>43927</v>
      </c>
      <c r="C83" s="19">
        <v>0.52083333333333337</v>
      </c>
      <c r="D83" s="22">
        <v>2870</v>
      </c>
      <c r="E83" s="5">
        <f t="shared" si="0"/>
        <v>899.99999999999682</v>
      </c>
      <c r="F83" s="21">
        <f t="shared" si="1"/>
        <v>19322131.499999929</v>
      </c>
      <c r="G83" s="22">
        <v>16.100000000000001</v>
      </c>
      <c r="H83" s="22">
        <v>0</v>
      </c>
    </row>
    <row r="84" spans="1:8">
      <c r="A84" s="22">
        <v>2105769</v>
      </c>
      <c r="B84" s="1">
        <v>43927</v>
      </c>
      <c r="C84" s="19">
        <v>0.53125</v>
      </c>
      <c r="D84" s="22">
        <v>2870</v>
      </c>
      <c r="E84" s="5">
        <f t="shared" si="0"/>
        <v>899.99999999999682</v>
      </c>
      <c r="F84" s="21">
        <f t="shared" si="1"/>
        <v>19322131.499999929</v>
      </c>
      <c r="G84" s="22">
        <v>16.100000000000001</v>
      </c>
      <c r="H84" s="22">
        <v>0</v>
      </c>
    </row>
    <row r="85" spans="1:8">
      <c r="A85" s="22">
        <v>2105769</v>
      </c>
      <c r="B85" s="1">
        <v>43927</v>
      </c>
      <c r="C85" s="19">
        <v>0.54166666666666663</v>
      </c>
      <c r="D85" s="22">
        <v>2870</v>
      </c>
      <c r="E85" s="5">
        <f t="shared" si="0"/>
        <v>900.00000000000637</v>
      </c>
      <c r="F85" s="21">
        <f t="shared" si="1"/>
        <v>19322131.500000138</v>
      </c>
      <c r="G85" s="22">
        <v>16.100000000000001</v>
      </c>
      <c r="H85" s="22">
        <v>0</v>
      </c>
    </row>
    <row r="86" spans="1:8">
      <c r="A86" s="22">
        <v>2105769</v>
      </c>
      <c r="B86" s="1">
        <v>43927</v>
      </c>
      <c r="C86" s="19">
        <v>0.55208333333333337</v>
      </c>
      <c r="D86" s="22">
        <v>2870</v>
      </c>
      <c r="E86" s="5">
        <f t="shared" si="0"/>
        <v>899.99999999999682</v>
      </c>
      <c r="F86" s="21">
        <f t="shared" si="1"/>
        <v>19322131.499999929</v>
      </c>
      <c r="G86" s="22">
        <v>16.100000000000001</v>
      </c>
      <c r="H86" s="22">
        <v>0</v>
      </c>
    </row>
    <row r="87" spans="1:8">
      <c r="A87" s="22">
        <v>2105769</v>
      </c>
      <c r="B87" s="1">
        <v>43927</v>
      </c>
      <c r="C87" s="19">
        <v>0.5625</v>
      </c>
      <c r="D87" s="22">
        <v>2870</v>
      </c>
      <c r="E87" s="5">
        <f t="shared" si="0"/>
        <v>899.99999999999682</v>
      </c>
      <c r="F87" s="21">
        <f t="shared" si="1"/>
        <v>19322131.499999929</v>
      </c>
      <c r="G87" s="22">
        <v>16.100000000000001</v>
      </c>
      <c r="H87" s="22">
        <v>0</v>
      </c>
    </row>
    <row r="88" spans="1:8">
      <c r="A88" s="22">
        <v>2105769</v>
      </c>
      <c r="B88" s="1">
        <v>43927</v>
      </c>
      <c r="C88" s="19">
        <v>0.57291666666666663</v>
      </c>
      <c r="D88" s="22">
        <v>2850</v>
      </c>
      <c r="E88" s="5">
        <f t="shared" si="0"/>
        <v>900.00000000000637</v>
      </c>
      <c r="F88" s="21">
        <f t="shared" si="1"/>
        <v>19187482.500000138</v>
      </c>
      <c r="G88" s="22">
        <v>16.09</v>
      </c>
      <c r="H88" s="22">
        <v>0</v>
      </c>
    </row>
    <row r="89" spans="1:8">
      <c r="A89" s="22">
        <v>2105769</v>
      </c>
      <c r="B89" s="1">
        <v>43927</v>
      </c>
      <c r="C89" s="19">
        <v>0.58333333333333337</v>
      </c>
      <c r="D89" s="22">
        <v>2870</v>
      </c>
      <c r="E89" s="5">
        <f t="shared" si="0"/>
        <v>899.99999999999682</v>
      </c>
      <c r="F89" s="21">
        <f t="shared" si="1"/>
        <v>19322131.499999929</v>
      </c>
      <c r="G89" s="22">
        <v>16.100000000000001</v>
      </c>
      <c r="H89" s="22">
        <v>0</v>
      </c>
    </row>
    <row r="90" spans="1:8">
      <c r="A90" s="22">
        <v>2105769</v>
      </c>
      <c r="B90" s="1">
        <v>43927</v>
      </c>
      <c r="C90" s="19">
        <v>0.59375</v>
      </c>
      <c r="D90" s="22">
        <v>2830</v>
      </c>
      <c r="E90" s="5">
        <f t="shared" si="0"/>
        <v>899.99999999999682</v>
      </c>
      <c r="F90" s="21">
        <f t="shared" si="1"/>
        <v>19052833.499999933</v>
      </c>
      <c r="G90" s="22">
        <v>16.079999999999998</v>
      </c>
      <c r="H90" s="22">
        <v>0</v>
      </c>
    </row>
    <row r="91" spans="1:8">
      <c r="A91" s="22">
        <v>2105769</v>
      </c>
      <c r="B91" s="1">
        <v>43927</v>
      </c>
      <c r="C91" s="19">
        <v>0.60416666666666663</v>
      </c>
      <c r="D91" s="22">
        <v>2870</v>
      </c>
      <c r="E91" s="5">
        <f t="shared" si="0"/>
        <v>900.00000000000637</v>
      </c>
      <c r="F91" s="21">
        <f t="shared" si="1"/>
        <v>19322131.500000138</v>
      </c>
      <c r="G91" s="22">
        <v>16.100000000000001</v>
      </c>
      <c r="H91" s="22">
        <v>0</v>
      </c>
    </row>
    <row r="92" spans="1:8">
      <c r="A92" s="22">
        <v>2105769</v>
      </c>
      <c r="B92" s="1">
        <v>43927</v>
      </c>
      <c r="C92" s="19">
        <v>0.61458333333333337</v>
      </c>
      <c r="D92" s="22">
        <v>2850</v>
      </c>
      <c r="E92" s="5">
        <f t="shared" si="0"/>
        <v>899.99999999999682</v>
      </c>
      <c r="F92" s="21">
        <f t="shared" si="1"/>
        <v>19187482.499999933</v>
      </c>
      <c r="G92" s="22">
        <v>16.09</v>
      </c>
      <c r="H92" s="22">
        <v>0</v>
      </c>
    </row>
    <row r="93" spans="1:8">
      <c r="A93" s="22">
        <v>2105769</v>
      </c>
      <c r="B93" s="1">
        <v>43927</v>
      </c>
      <c r="C93" s="19">
        <v>0.625</v>
      </c>
      <c r="D93" s="22">
        <v>2850</v>
      </c>
      <c r="E93" s="5">
        <f t="shared" si="0"/>
        <v>899.99999999999682</v>
      </c>
      <c r="F93" s="21">
        <f t="shared" si="1"/>
        <v>19187482.499999933</v>
      </c>
      <c r="G93" s="22">
        <v>16.09</v>
      </c>
      <c r="H93" s="22">
        <v>0</v>
      </c>
    </row>
    <row r="94" spans="1:8">
      <c r="A94" s="22">
        <v>2105769</v>
      </c>
      <c r="B94" s="1">
        <v>43927</v>
      </c>
      <c r="C94" s="19">
        <v>0.63541666666666663</v>
      </c>
      <c r="D94" s="22">
        <v>2850</v>
      </c>
      <c r="E94" s="5">
        <f t="shared" si="0"/>
        <v>900.00000000000637</v>
      </c>
      <c r="F94" s="21">
        <f t="shared" si="1"/>
        <v>19187482.500000138</v>
      </c>
      <c r="G94" s="22">
        <v>16.09</v>
      </c>
      <c r="H94" s="22">
        <v>0</v>
      </c>
    </row>
    <row r="95" spans="1:8">
      <c r="A95" s="22">
        <v>2105769</v>
      </c>
      <c r="B95" s="1">
        <v>43927</v>
      </c>
      <c r="C95" s="19">
        <v>0.64583333333333337</v>
      </c>
      <c r="D95" s="22">
        <v>2850</v>
      </c>
      <c r="E95" s="5">
        <f t="shared" si="0"/>
        <v>899.99999999999682</v>
      </c>
      <c r="F95" s="21">
        <f t="shared" si="1"/>
        <v>19187482.499999933</v>
      </c>
      <c r="G95" s="22">
        <v>16.09</v>
      </c>
      <c r="H95" s="22">
        <v>0</v>
      </c>
    </row>
    <row r="96" spans="1:8">
      <c r="A96" s="22">
        <v>2105769</v>
      </c>
      <c r="B96" s="1">
        <v>43927</v>
      </c>
      <c r="C96" s="19">
        <v>0.65625</v>
      </c>
      <c r="D96" s="22">
        <v>2850</v>
      </c>
      <c r="E96" s="5">
        <f t="shared" si="0"/>
        <v>899.99999999999682</v>
      </c>
      <c r="F96" s="21">
        <f t="shared" si="1"/>
        <v>19187482.499999933</v>
      </c>
      <c r="G96" s="22">
        <v>16.09</v>
      </c>
      <c r="H96" s="22">
        <v>0</v>
      </c>
    </row>
    <row r="97" spans="1:8">
      <c r="A97" s="22">
        <v>2105769</v>
      </c>
      <c r="B97" s="1">
        <v>43927</v>
      </c>
      <c r="C97" s="19">
        <v>0.66666666666666663</v>
      </c>
      <c r="D97" s="22">
        <v>2810</v>
      </c>
      <c r="E97" s="5">
        <f t="shared" ref="E97:E127" si="2">CONVERT((C98-C97),"day","sec")</f>
        <v>900.00000000000637</v>
      </c>
      <c r="F97" s="21">
        <f t="shared" ref="F97:F128" si="3">D97*E97*7.4805</f>
        <v>18918184.500000134</v>
      </c>
      <c r="G97" s="22">
        <v>16.07</v>
      </c>
      <c r="H97" s="22">
        <v>0</v>
      </c>
    </row>
    <row r="98" spans="1:8">
      <c r="A98" s="22">
        <v>2105769</v>
      </c>
      <c r="B98" s="1">
        <v>43927</v>
      </c>
      <c r="C98" s="19">
        <v>0.67708333333333337</v>
      </c>
      <c r="D98" s="22">
        <v>2850</v>
      </c>
      <c r="E98" s="5">
        <f t="shared" si="2"/>
        <v>899.99999999999682</v>
      </c>
      <c r="F98" s="21">
        <f t="shared" si="3"/>
        <v>19187482.499999933</v>
      </c>
      <c r="G98" s="22">
        <v>16.09</v>
      </c>
      <c r="H98" s="22">
        <v>0</v>
      </c>
    </row>
    <row r="99" spans="1:8">
      <c r="A99" s="22">
        <v>2105769</v>
      </c>
      <c r="B99" s="1">
        <v>43927</v>
      </c>
      <c r="C99" s="19">
        <v>0.6875</v>
      </c>
      <c r="D99" s="22">
        <v>2830</v>
      </c>
      <c r="E99" s="5">
        <f t="shared" si="2"/>
        <v>899.99999999999682</v>
      </c>
      <c r="F99" s="21">
        <f t="shared" si="3"/>
        <v>19052833.499999933</v>
      </c>
      <c r="G99" s="22">
        <v>16.079999999999998</v>
      </c>
      <c r="H99" s="22">
        <v>0</v>
      </c>
    </row>
    <row r="100" spans="1:8">
      <c r="A100" s="22">
        <v>2105769</v>
      </c>
      <c r="B100" s="1">
        <v>43927</v>
      </c>
      <c r="C100" s="19">
        <v>0.69791666666666663</v>
      </c>
      <c r="D100" s="22">
        <v>2850</v>
      </c>
      <c r="E100" s="5">
        <f t="shared" si="2"/>
        <v>900.00000000000637</v>
      </c>
      <c r="F100" s="21">
        <f t="shared" si="3"/>
        <v>19187482.500000138</v>
      </c>
      <c r="G100" s="22">
        <v>16.09</v>
      </c>
      <c r="H100" s="22">
        <v>0</v>
      </c>
    </row>
    <row r="101" spans="1:8">
      <c r="A101" s="22">
        <v>2105769</v>
      </c>
      <c r="B101" s="1">
        <v>43927</v>
      </c>
      <c r="C101" s="19">
        <v>0.70833333333333337</v>
      </c>
      <c r="D101" s="22">
        <v>2810</v>
      </c>
      <c r="E101" s="5">
        <f t="shared" si="2"/>
        <v>899.99999999999682</v>
      </c>
      <c r="F101" s="21">
        <f t="shared" si="3"/>
        <v>18918184.499999933</v>
      </c>
      <c r="G101" s="22">
        <v>16.07</v>
      </c>
      <c r="H101" s="22">
        <v>0</v>
      </c>
    </row>
    <row r="102" spans="1:8">
      <c r="A102" s="22">
        <v>2105769</v>
      </c>
      <c r="B102" s="1">
        <v>43927</v>
      </c>
      <c r="C102" s="19">
        <v>0.71875</v>
      </c>
      <c r="D102" s="22">
        <v>2810</v>
      </c>
      <c r="E102" s="5">
        <f t="shared" si="2"/>
        <v>899.99999999999682</v>
      </c>
      <c r="F102" s="21">
        <f t="shared" si="3"/>
        <v>18918184.499999933</v>
      </c>
      <c r="G102" s="22">
        <v>16.07</v>
      </c>
      <c r="H102" s="22">
        <v>0</v>
      </c>
    </row>
    <row r="103" spans="1:8">
      <c r="A103" s="22">
        <v>2105769</v>
      </c>
      <c r="B103" s="1">
        <v>43927</v>
      </c>
      <c r="C103" s="19">
        <v>0.72916666666666663</v>
      </c>
      <c r="D103" s="22">
        <v>2810</v>
      </c>
      <c r="E103" s="5">
        <f t="shared" si="2"/>
        <v>900.00000000000637</v>
      </c>
      <c r="F103" s="21">
        <f t="shared" si="3"/>
        <v>18918184.500000134</v>
      </c>
      <c r="G103" s="22">
        <v>16.07</v>
      </c>
      <c r="H103" s="22">
        <v>0</v>
      </c>
    </row>
    <row r="104" spans="1:8">
      <c r="A104" s="22">
        <v>2105769</v>
      </c>
      <c r="B104" s="1">
        <v>43927</v>
      </c>
      <c r="C104" s="19">
        <v>0.73958333333333337</v>
      </c>
      <c r="D104" s="22">
        <v>2810</v>
      </c>
      <c r="E104" s="5">
        <f t="shared" si="2"/>
        <v>899.99999999999682</v>
      </c>
      <c r="F104" s="21">
        <f t="shared" si="3"/>
        <v>18918184.499999933</v>
      </c>
      <c r="G104" s="22">
        <v>16.07</v>
      </c>
      <c r="H104" s="22">
        <v>0</v>
      </c>
    </row>
    <row r="105" spans="1:8">
      <c r="A105" s="22">
        <v>2105769</v>
      </c>
      <c r="B105" s="1">
        <v>43927</v>
      </c>
      <c r="C105" s="19">
        <v>0.75</v>
      </c>
      <c r="D105" s="22">
        <v>2810</v>
      </c>
      <c r="E105" s="5">
        <f t="shared" si="2"/>
        <v>899.99999999999682</v>
      </c>
      <c r="F105" s="21">
        <f t="shared" si="3"/>
        <v>18918184.499999933</v>
      </c>
      <c r="G105" s="22">
        <v>16.07</v>
      </c>
      <c r="H105" s="22">
        <v>0</v>
      </c>
    </row>
    <row r="106" spans="1:8">
      <c r="A106" s="22">
        <v>2105769</v>
      </c>
      <c r="B106" s="1">
        <v>43927</v>
      </c>
      <c r="C106" s="19">
        <v>0.76041666666666663</v>
      </c>
      <c r="D106" s="22">
        <v>2810</v>
      </c>
      <c r="E106" s="5">
        <f t="shared" si="2"/>
        <v>900.00000000000637</v>
      </c>
      <c r="F106" s="21">
        <f t="shared" si="3"/>
        <v>18918184.500000134</v>
      </c>
      <c r="G106" s="22">
        <v>16.07</v>
      </c>
      <c r="H106" s="22">
        <v>0</v>
      </c>
    </row>
    <row r="107" spans="1:8">
      <c r="A107" s="22">
        <v>2105769</v>
      </c>
      <c r="B107" s="1">
        <v>43927</v>
      </c>
      <c r="C107" s="19">
        <v>0.77083333333333337</v>
      </c>
      <c r="D107" s="22">
        <v>2790</v>
      </c>
      <c r="E107" s="5">
        <f t="shared" si="2"/>
        <v>899.99999999999682</v>
      </c>
      <c r="F107" s="21">
        <f t="shared" si="3"/>
        <v>18783535.499999933</v>
      </c>
      <c r="G107" s="22">
        <v>16.059999999999999</v>
      </c>
      <c r="H107" s="22">
        <v>0</v>
      </c>
    </row>
    <row r="108" spans="1:8">
      <c r="A108" s="22">
        <v>2105769</v>
      </c>
      <c r="B108" s="1">
        <v>43927</v>
      </c>
      <c r="C108" s="19">
        <v>0.78125</v>
      </c>
      <c r="D108" s="22">
        <v>2810</v>
      </c>
      <c r="E108" s="5">
        <f t="shared" si="2"/>
        <v>899.99999999999682</v>
      </c>
      <c r="F108" s="21">
        <f t="shared" si="3"/>
        <v>18918184.499999933</v>
      </c>
      <c r="G108" s="22">
        <v>16.07</v>
      </c>
      <c r="H108" s="22">
        <v>0</v>
      </c>
    </row>
    <row r="109" spans="1:8">
      <c r="A109" s="22">
        <v>2105769</v>
      </c>
      <c r="B109" s="1">
        <v>43927</v>
      </c>
      <c r="C109" s="19">
        <v>0.79166666666666663</v>
      </c>
      <c r="D109" s="22">
        <v>2790</v>
      </c>
      <c r="E109" s="5">
        <f t="shared" si="2"/>
        <v>900.00000000000637</v>
      </c>
      <c r="F109" s="21">
        <f t="shared" si="3"/>
        <v>18783535.500000134</v>
      </c>
      <c r="G109" s="22">
        <v>16.059999999999999</v>
      </c>
      <c r="H109" s="22">
        <v>0</v>
      </c>
    </row>
    <row r="110" spans="1:8">
      <c r="A110" s="22">
        <v>2105769</v>
      </c>
      <c r="B110" s="1">
        <v>43927</v>
      </c>
      <c r="C110" s="19">
        <v>0.80208333333333337</v>
      </c>
      <c r="D110" s="22">
        <v>2790</v>
      </c>
      <c r="E110" s="5">
        <f t="shared" si="2"/>
        <v>899.99999999999682</v>
      </c>
      <c r="F110" s="21">
        <f t="shared" si="3"/>
        <v>18783535.499999933</v>
      </c>
      <c r="G110" s="22">
        <v>16.059999999999999</v>
      </c>
      <c r="H110" s="22">
        <v>0</v>
      </c>
    </row>
    <row r="111" spans="1:8">
      <c r="A111" s="22">
        <v>2105769</v>
      </c>
      <c r="B111" s="1">
        <v>43927</v>
      </c>
      <c r="C111" s="19">
        <v>0.8125</v>
      </c>
      <c r="D111" s="22">
        <v>2770</v>
      </c>
      <c r="E111" s="5">
        <f t="shared" si="2"/>
        <v>899.99999999999682</v>
      </c>
      <c r="F111" s="21">
        <f t="shared" si="3"/>
        <v>18648886.499999933</v>
      </c>
      <c r="G111" s="22">
        <v>16.05</v>
      </c>
      <c r="H111" s="22">
        <v>0</v>
      </c>
    </row>
    <row r="112" spans="1:8">
      <c r="A112" s="22">
        <v>2105769</v>
      </c>
      <c r="B112" s="1">
        <v>43927</v>
      </c>
      <c r="C112" s="19">
        <v>0.82291666666666663</v>
      </c>
      <c r="D112" s="22">
        <v>2790</v>
      </c>
      <c r="E112" s="5">
        <f t="shared" si="2"/>
        <v>900.00000000000637</v>
      </c>
      <c r="F112" s="21">
        <f t="shared" si="3"/>
        <v>18783535.500000134</v>
      </c>
      <c r="G112" s="22">
        <v>16.059999999999999</v>
      </c>
      <c r="H112" s="22">
        <v>0</v>
      </c>
    </row>
    <row r="113" spans="1:8">
      <c r="A113" s="22">
        <v>2105769</v>
      </c>
      <c r="B113" s="1">
        <v>43927</v>
      </c>
      <c r="C113" s="19">
        <v>0.83333333333333337</v>
      </c>
      <c r="D113" s="22">
        <v>2790</v>
      </c>
      <c r="E113" s="5">
        <f t="shared" si="2"/>
        <v>899.99999999999682</v>
      </c>
      <c r="F113" s="21">
        <f t="shared" si="3"/>
        <v>18783535.499999933</v>
      </c>
      <c r="G113" s="22">
        <v>16.059999999999999</v>
      </c>
      <c r="H113" s="22">
        <v>0</v>
      </c>
    </row>
    <row r="114" spans="1:8">
      <c r="A114" s="22">
        <v>2105769</v>
      </c>
      <c r="B114" s="1">
        <v>43927</v>
      </c>
      <c r="C114" s="19">
        <v>0.84375</v>
      </c>
      <c r="D114" s="22">
        <v>2790</v>
      </c>
      <c r="E114" s="5">
        <f t="shared" si="2"/>
        <v>899.99999999999682</v>
      </c>
      <c r="F114" s="21">
        <f t="shared" si="3"/>
        <v>18783535.499999933</v>
      </c>
      <c r="G114" s="22">
        <v>16.059999999999999</v>
      </c>
      <c r="H114" s="22">
        <v>0</v>
      </c>
    </row>
    <row r="115" spans="1:8">
      <c r="A115" s="22">
        <v>2105769</v>
      </c>
      <c r="B115" s="1">
        <v>43927</v>
      </c>
      <c r="C115" s="19">
        <v>0.85416666666666663</v>
      </c>
      <c r="D115" s="22">
        <v>2790</v>
      </c>
      <c r="E115" s="5">
        <f t="shared" si="2"/>
        <v>900.00000000000637</v>
      </c>
      <c r="F115" s="21">
        <f t="shared" si="3"/>
        <v>18783535.500000134</v>
      </c>
      <c r="G115" s="22">
        <v>16.059999999999999</v>
      </c>
      <c r="H115" s="22">
        <v>0</v>
      </c>
    </row>
    <row r="116" spans="1:8">
      <c r="A116" s="22">
        <v>2105769</v>
      </c>
      <c r="B116" s="1">
        <v>43927</v>
      </c>
      <c r="C116" s="19">
        <v>0.86458333333333337</v>
      </c>
      <c r="D116" s="22">
        <v>2770</v>
      </c>
      <c r="E116" s="5">
        <f t="shared" si="2"/>
        <v>899.99999999999682</v>
      </c>
      <c r="F116" s="21">
        <f t="shared" si="3"/>
        <v>18648886.499999933</v>
      </c>
      <c r="G116" s="22">
        <v>16.05</v>
      </c>
      <c r="H116" s="22">
        <v>0</v>
      </c>
    </row>
    <row r="117" spans="1:8">
      <c r="A117" s="22">
        <v>2105769</v>
      </c>
      <c r="B117" s="1">
        <v>43927</v>
      </c>
      <c r="C117" s="19">
        <v>0.875</v>
      </c>
      <c r="D117" s="22">
        <v>2790</v>
      </c>
      <c r="E117" s="5">
        <f t="shared" si="2"/>
        <v>899.99999999999682</v>
      </c>
      <c r="F117" s="21">
        <f t="shared" si="3"/>
        <v>18783535.499999933</v>
      </c>
      <c r="G117" s="22">
        <v>16.059999999999999</v>
      </c>
      <c r="H117" s="22">
        <v>0</v>
      </c>
    </row>
    <row r="118" spans="1:8">
      <c r="A118" s="22">
        <v>2105769</v>
      </c>
      <c r="B118" s="1">
        <v>43927</v>
      </c>
      <c r="C118" s="19">
        <v>0.88541666666666663</v>
      </c>
      <c r="D118" s="22">
        <v>2770</v>
      </c>
      <c r="E118" s="5">
        <f t="shared" si="2"/>
        <v>900.00000000000637</v>
      </c>
      <c r="F118" s="21">
        <f t="shared" si="3"/>
        <v>18648886.500000134</v>
      </c>
      <c r="G118" s="22">
        <v>16.05</v>
      </c>
      <c r="H118" s="22">
        <v>0</v>
      </c>
    </row>
    <row r="119" spans="1:8">
      <c r="A119" s="22">
        <v>2105769</v>
      </c>
      <c r="B119" s="1">
        <v>43927</v>
      </c>
      <c r="C119" s="19">
        <v>0.89583333333333337</v>
      </c>
      <c r="D119" s="22">
        <v>2810</v>
      </c>
      <c r="E119" s="5">
        <f t="shared" si="2"/>
        <v>899.99999999999682</v>
      </c>
      <c r="F119" s="21">
        <f t="shared" si="3"/>
        <v>18918184.499999933</v>
      </c>
      <c r="G119" s="22">
        <v>16.07</v>
      </c>
      <c r="H119" s="22">
        <v>0</v>
      </c>
    </row>
    <row r="120" spans="1:8">
      <c r="A120" s="22">
        <v>2105769</v>
      </c>
      <c r="B120" s="1">
        <v>43927</v>
      </c>
      <c r="C120" s="19">
        <v>0.90625</v>
      </c>
      <c r="D120" s="22">
        <v>2810</v>
      </c>
      <c r="E120" s="5">
        <f t="shared" si="2"/>
        <v>899.99999999999682</v>
      </c>
      <c r="F120" s="21">
        <f t="shared" si="3"/>
        <v>18918184.499999933</v>
      </c>
      <c r="G120" s="22">
        <v>16.07</v>
      </c>
      <c r="H120" s="22">
        <v>0</v>
      </c>
    </row>
    <row r="121" spans="1:8">
      <c r="A121" s="22">
        <v>2105769</v>
      </c>
      <c r="B121" s="1">
        <v>43927</v>
      </c>
      <c r="C121" s="19">
        <v>0.91666666666666663</v>
      </c>
      <c r="D121" s="22">
        <v>2810</v>
      </c>
      <c r="E121" s="5">
        <f t="shared" si="2"/>
        <v>900.00000000000637</v>
      </c>
      <c r="F121" s="21">
        <f t="shared" si="3"/>
        <v>18918184.500000134</v>
      </c>
      <c r="G121" s="22">
        <v>16.07</v>
      </c>
      <c r="H121" s="22">
        <v>0.03</v>
      </c>
    </row>
    <row r="122" spans="1:8">
      <c r="A122" s="22">
        <v>2105769</v>
      </c>
      <c r="B122" s="1">
        <v>43927</v>
      </c>
      <c r="C122" s="19">
        <v>0.92708333333333337</v>
      </c>
      <c r="D122" s="22">
        <v>2790</v>
      </c>
      <c r="E122" s="5">
        <f t="shared" si="2"/>
        <v>899.99999999999682</v>
      </c>
      <c r="F122" s="21">
        <f t="shared" si="3"/>
        <v>18783535.499999933</v>
      </c>
      <c r="G122" s="22">
        <v>16.059999999999999</v>
      </c>
      <c r="H122" s="22">
        <v>0.01</v>
      </c>
    </row>
    <row r="123" spans="1:8">
      <c r="A123" s="22">
        <v>2105769</v>
      </c>
      <c r="B123" s="1">
        <v>43927</v>
      </c>
      <c r="C123" s="19">
        <v>0.9375</v>
      </c>
      <c r="D123" s="22">
        <v>2770</v>
      </c>
      <c r="E123" s="5">
        <f t="shared" si="2"/>
        <v>899.99999999999682</v>
      </c>
      <c r="F123" s="21">
        <f t="shared" si="3"/>
        <v>18648886.499999933</v>
      </c>
      <c r="G123" s="22">
        <v>16.05</v>
      </c>
      <c r="H123" s="22">
        <v>0</v>
      </c>
    </row>
    <row r="124" spans="1:8">
      <c r="A124" s="22">
        <v>2105769</v>
      </c>
      <c r="B124" s="1">
        <v>43927</v>
      </c>
      <c r="C124" s="19">
        <v>0.94791666666666663</v>
      </c>
      <c r="D124" s="22">
        <v>2770</v>
      </c>
      <c r="E124" s="5">
        <f t="shared" si="2"/>
        <v>900.00000000000637</v>
      </c>
      <c r="F124" s="21">
        <f t="shared" si="3"/>
        <v>18648886.500000134</v>
      </c>
      <c r="G124" s="22">
        <v>16.05</v>
      </c>
      <c r="H124" s="22">
        <v>0</v>
      </c>
    </row>
    <row r="125" spans="1:8">
      <c r="A125" s="22">
        <v>2105769</v>
      </c>
      <c r="B125" s="1">
        <v>43927</v>
      </c>
      <c r="C125" s="19">
        <v>0.95833333333333337</v>
      </c>
      <c r="D125" s="22">
        <v>2750</v>
      </c>
      <c r="E125" s="5">
        <f t="shared" si="2"/>
        <v>899.99999999999682</v>
      </c>
      <c r="F125" s="21">
        <f t="shared" si="3"/>
        <v>18514237.499999933</v>
      </c>
      <c r="G125" s="22">
        <v>16.04</v>
      </c>
      <c r="H125" s="22">
        <v>0</v>
      </c>
    </row>
    <row r="126" spans="1:8">
      <c r="A126" s="22">
        <v>2105769</v>
      </c>
      <c r="B126" s="1">
        <v>43927</v>
      </c>
      <c r="C126" s="19">
        <v>0.96875</v>
      </c>
      <c r="D126" s="22">
        <v>2770</v>
      </c>
      <c r="E126" s="5">
        <f t="shared" si="2"/>
        <v>899.99999999999682</v>
      </c>
      <c r="F126" s="21">
        <f t="shared" si="3"/>
        <v>18648886.499999933</v>
      </c>
      <c r="G126" s="22">
        <v>16.05</v>
      </c>
      <c r="H126" s="22">
        <v>0</v>
      </c>
    </row>
    <row r="127" spans="1:8">
      <c r="A127" s="22">
        <v>2105769</v>
      </c>
      <c r="B127" s="1">
        <v>43927</v>
      </c>
      <c r="C127" s="19">
        <v>0.97916666666666663</v>
      </c>
      <c r="D127" s="22">
        <v>2770</v>
      </c>
      <c r="E127" s="5">
        <f t="shared" si="2"/>
        <v>900.00000000000637</v>
      </c>
      <c r="F127" s="21">
        <f t="shared" si="3"/>
        <v>18648886.500000134</v>
      </c>
      <c r="G127" s="22">
        <v>16.05</v>
      </c>
      <c r="H127" s="22">
        <v>0</v>
      </c>
    </row>
    <row r="128" spans="1:8">
      <c r="A128" s="22">
        <v>2105769</v>
      </c>
      <c r="B128" s="1">
        <v>43927</v>
      </c>
      <c r="C128" s="19">
        <v>0.98958333333333337</v>
      </c>
      <c r="D128" s="22">
        <v>2770</v>
      </c>
      <c r="E128" s="5">
        <v>900</v>
      </c>
      <c r="F128" s="21">
        <f t="shared" si="3"/>
        <v>18648886.5</v>
      </c>
      <c r="G128" s="22">
        <v>16.05</v>
      </c>
      <c r="H128" s="22">
        <v>0</v>
      </c>
    </row>
    <row r="129" spans="2:6">
      <c r="B129" s="1"/>
      <c r="C129" s="19"/>
      <c r="E129" s="5"/>
      <c r="F129" s="21"/>
    </row>
    <row r="130" spans="2:6">
      <c r="B130" s="1"/>
      <c r="C130" s="19"/>
      <c r="E130" s="5"/>
      <c r="F130" s="21"/>
    </row>
    <row r="131" spans="2:6">
      <c r="B131" s="1"/>
      <c r="C131" s="19"/>
      <c r="E131" s="5"/>
      <c r="F131" s="21"/>
    </row>
    <row r="132" spans="2:6">
      <c r="B132" s="1"/>
      <c r="C132" s="19"/>
      <c r="E132" s="5"/>
      <c r="F132" s="21"/>
    </row>
    <row r="133" spans="2:6">
      <c r="B133" s="1"/>
      <c r="C133" s="19"/>
      <c r="E133" s="5"/>
      <c r="F133" s="21"/>
    </row>
    <row r="134" spans="2:6">
      <c r="B134" s="1"/>
      <c r="C134" s="19"/>
      <c r="E134" s="5"/>
      <c r="F134" s="21"/>
    </row>
    <row r="135" spans="2:6">
      <c r="B135" s="1"/>
      <c r="C135" s="19"/>
      <c r="E135" s="5"/>
      <c r="F135" s="21"/>
    </row>
    <row r="136" spans="2:6">
      <c r="B136" s="1"/>
      <c r="C136" s="19"/>
      <c r="E136" s="5"/>
      <c r="F136" s="21"/>
    </row>
    <row r="137" spans="2:6">
      <c r="B137" s="1"/>
      <c r="C137" s="19"/>
      <c r="E137" s="5"/>
      <c r="F137" s="21"/>
    </row>
    <row r="138" spans="2:6">
      <c r="B138" s="1"/>
      <c r="C138" s="19"/>
      <c r="E138" s="5"/>
      <c r="F138" s="21"/>
    </row>
    <row r="139" spans="2:6">
      <c r="B139" s="1"/>
      <c r="C139" s="19"/>
      <c r="E139" s="5"/>
      <c r="F139" s="21"/>
    </row>
    <row r="140" spans="2:6">
      <c r="B140" s="1"/>
      <c r="C140" s="19"/>
      <c r="E140" s="5"/>
      <c r="F140" s="21"/>
    </row>
    <row r="141" spans="2:6">
      <c r="B141" s="1"/>
      <c r="C141" s="19"/>
      <c r="E141" s="5"/>
      <c r="F141" s="21"/>
    </row>
    <row r="142" spans="2:6">
      <c r="B142" s="1"/>
      <c r="C142" s="19"/>
      <c r="E142" s="5"/>
      <c r="F142" s="21"/>
    </row>
    <row r="143" spans="2:6">
      <c r="B143" s="1"/>
      <c r="C143" s="19"/>
      <c r="E143" s="5"/>
      <c r="F143" s="21"/>
    </row>
    <row r="144" spans="2:6">
      <c r="B144" s="1"/>
      <c r="C144" s="19"/>
      <c r="E144" s="5"/>
      <c r="F144" s="21"/>
    </row>
    <row r="145" spans="2:6">
      <c r="B145" s="1"/>
      <c r="C145" s="19"/>
      <c r="E145" s="5"/>
      <c r="F145" s="21"/>
    </row>
    <row r="146" spans="2:6">
      <c r="B146" s="1"/>
      <c r="C146" s="19"/>
      <c r="E146" s="5"/>
      <c r="F146" s="21"/>
    </row>
    <row r="147" spans="2:6">
      <c r="B147" s="1"/>
      <c r="C147" s="19"/>
      <c r="E147" s="5"/>
      <c r="F147" s="21"/>
    </row>
    <row r="148" spans="2:6">
      <c r="B148" s="1"/>
      <c r="C148" s="19"/>
      <c r="E148" s="5"/>
      <c r="F148" s="21"/>
    </row>
    <row r="149" spans="2:6">
      <c r="B149" s="1"/>
      <c r="C149" s="19"/>
      <c r="E149" s="5"/>
      <c r="F149" s="21"/>
    </row>
    <row r="150" spans="2:6">
      <c r="B150" s="1"/>
      <c r="C150" s="19"/>
      <c r="E150" s="5"/>
      <c r="F150" s="21"/>
    </row>
    <row r="151" spans="2:6">
      <c r="B151" s="1"/>
      <c r="C151" s="19"/>
      <c r="E151" s="5"/>
      <c r="F151" s="21"/>
    </row>
    <row r="152" spans="2:6">
      <c r="B152" s="1"/>
      <c r="C152" s="19"/>
      <c r="E152" s="5"/>
      <c r="F152" s="21"/>
    </row>
    <row r="153" spans="2:6">
      <c r="B153" s="1"/>
      <c r="C153" s="19"/>
      <c r="E153" s="5"/>
      <c r="F153" s="21"/>
    </row>
    <row r="154" spans="2:6">
      <c r="B154" s="1"/>
      <c r="C154" s="19"/>
      <c r="E154" s="5"/>
      <c r="F154" s="21"/>
    </row>
    <row r="155" spans="2:6">
      <c r="B155" s="1"/>
      <c r="C155" s="19"/>
      <c r="E155" s="5"/>
      <c r="F155" s="21"/>
    </row>
    <row r="156" spans="2:6">
      <c r="B156" s="1"/>
      <c r="C156" s="19"/>
      <c r="E156" s="5"/>
      <c r="F156" s="21"/>
    </row>
    <row r="157" spans="2:6">
      <c r="B157" s="1"/>
      <c r="C157" s="19"/>
      <c r="E157" s="5"/>
      <c r="F157" s="21"/>
    </row>
    <row r="158" spans="2:6">
      <c r="B158" s="1"/>
      <c r="C158" s="19"/>
      <c r="E158" s="5"/>
      <c r="F158" s="21"/>
    </row>
    <row r="159" spans="2:6">
      <c r="B159" s="1"/>
      <c r="C159" s="19"/>
      <c r="E159" s="5"/>
      <c r="F159" s="21"/>
    </row>
    <row r="160" spans="2:6">
      <c r="B160" s="1"/>
      <c r="C160" s="19"/>
      <c r="E160" s="5"/>
      <c r="F160" s="21"/>
    </row>
    <row r="161" spans="2:6">
      <c r="B161" s="1"/>
      <c r="C161" s="19"/>
      <c r="E161" s="5"/>
      <c r="F161" s="21"/>
    </row>
    <row r="162" spans="2:6">
      <c r="B162" s="1"/>
      <c r="C162" s="19"/>
      <c r="E162" s="5"/>
      <c r="F162" s="21"/>
    </row>
    <row r="163" spans="2:6">
      <c r="B163" s="1"/>
      <c r="C163" s="19"/>
      <c r="E163" s="5"/>
      <c r="F163" s="21"/>
    </row>
    <row r="164" spans="2:6">
      <c r="B164" s="1"/>
      <c r="C164" s="19"/>
      <c r="E164" s="5"/>
      <c r="F164" s="21"/>
    </row>
    <row r="165" spans="2:6">
      <c r="B165" s="1"/>
      <c r="C165" s="19"/>
      <c r="E165" s="5"/>
      <c r="F165" s="21"/>
    </row>
    <row r="166" spans="2:6">
      <c r="B166" s="1"/>
      <c r="C166" s="19"/>
      <c r="E166" s="5"/>
      <c r="F166" s="21"/>
    </row>
    <row r="167" spans="2:6">
      <c r="B167" s="1"/>
      <c r="C167" s="19"/>
      <c r="E167" s="5"/>
      <c r="F167" s="21"/>
    </row>
    <row r="168" spans="2:6">
      <c r="B168" s="1"/>
      <c r="C168" s="19"/>
      <c r="E168" s="5"/>
      <c r="F168" s="21"/>
    </row>
    <row r="169" spans="2:6">
      <c r="B169" s="1"/>
      <c r="C169" s="19"/>
      <c r="E169" s="5"/>
      <c r="F169" s="21"/>
    </row>
    <row r="170" spans="2:6">
      <c r="B170" s="1"/>
      <c r="C170" s="19"/>
      <c r="E170" s="5"/>
      <c r="F170" s="21"/>
    </row>
    <row r="171" spans="2:6">
      <c r="B171" s="1"/>
      <c r="C171" s="19"/>
      <c r="E171" s="5"/>
      <c r="F171" s="21"/>
    </row>
    <row r="172" spans="2:6">
      <c r="B172" s="1"/>
      <c r="C172" s="19"/>
      <c r="E172" s="5"/>
      <c r="F172" s="21"/>
    </row>
    <row r="173" spans="2:6">
      <c r="B173" s="1"/>
      <c r="C173" s="19"/>
      <c r="E173" s="5"/>
      <c r="F173" s="21"/>
    </row>
    <row r="174" spans="2:6">
      <c r="B174" s="1"/>
      <c r="C174" s="19"/>
      <c r="E174" s="5"/>
      <c r="F174" s="21"/>
    </row>
    <row r="175" spans="2:6">
      <c r="B175" s="1"/>
      <c r="C175" s="19"/>
      <c r="E175" s="5"/>
      <c r="F175" s="21"/>
    </row>
    <row r="176" spans="2:6">
      <c r="B176" s="1"/>
      <c r="C176" s="19"/>
      <c r="E176" s="5"/>
      <c r="F176" s="21"/>
    </row>
    <row r="177" spans="2:6">
      <c r="B177" s="1"/>
      <c r="C177" s="19"/>
      <c r="E177" s="5"/>
      <c r="F177" s="21"/>
    </row>
    <row r="178" spans="2:6">
      <c r="B178" s="1"/>
      <c r="C178" s="19"/>
      <c r="E178" s="5"/>
      <c r="F178" s="21"/>
    </row>
    <row r="179" spans="2:6">
      <c r="B179" s="1"/>
      <c r="C179" s="19"/>
      <c r="E179" s="5"/>
      <c r="F179" s="21"/>
    </row>
    <row r="180" spans="2:6">
      <c r="B180" s="1"/>
      <c r="C180" s="19"/>
      <c r="E180" s="5"/>
      <c r="F180" s="21"/>
    </row>
    <row r="181" spans="2:6">
      <c r="B181" s="1"/>
      <c r="C181" s="19"/>
      <c r="E181" s="5"/>
      <c r="F181" s="21"/>
    </row>
    <row r="182" spans="2:6">
      <c r="B182" s="1"/>
      <c r="C182" s="19"/>
      <c r="E182" s="5"/>
      <c r="F182" s="21"/>
    </row>
    <row r="183" spans="2:6">
      <c r="B183" s="1"/>
      <c r="C183" s="19"/>
      <c r="E183" s="5"/>
      <c r="F183" s="21"/>
    </row>
    <row r="184" spans="2:6">
      <c r="B184" s="1"/>
      <c r="C184" s="19"/>
      <c r="E184" s="5"/>
      <c r="F184" s="21"/>
    </row>
    <row r="185" spans="2:6">
      <c r="B185" s="1"/>
      <c r="C185" s="19"/>
      <c r="E185" s="5"/>
      <c r="F185" s="21"/>
    </row>
    <row r="186" spans="2:6">
      <c r="B186" s="1"/>
      <c r="C186" s="19"/>
      <c r="E186" s="5"/>
      <c r="F186" s="21"/>
    </row>
    <row r="187" spans="2:6">
      <c r="B187" s="1"/>
      <c r="C187" s="19"/>
      <c r="E187" s="5"/>
      <c r="F187" s="21"/>
    </row>
    <row r="188" spans="2:6">
      <c r="B188" s="1"/>
      <c r="C188" s="19"/>
      <c r="E188" s="5"/>
      <c r="F188" s="21"/>
    </row>
    <row r="189" spans="2:6">
      <c r="B189" s="1"/>
      <c r="C189" s="19"/>
      <c r="E189" s="5"/>
      <c r="F189" s="21"/>
    </row>
    <row r="190" spans="2:6">
      <c r="B190" s="1"/>
      <c r="C190" s="19"/>
      <c r="E190" s="5"/>
      <c r="F190" s="21"/>
    </row>
    <row r="191" spans="2:6">
      <c r="B191" s="1"/>
      <c r="C191" s="19"/>
      <c r="E191" s="5"/>
      <c r="F191" s="21"/>
    </row>
    <row r="192" spans="2:6">
      <c r="B192" s="1"/>
      <c r="C192" s="19"/>
      <c r="E192" s="5"/>
      <c r="F192" s="21"/>
    </row>
    <row r="193" spans="2:6">
      <c r="B193" s="1"/>
      <c r="C193" s="19"/>
      <c r="E193" s="5"/>
      <c r="F193" s="21"/>
    </row>
    <row r="194" spans="2:6">
      <c r="B194" s="1"/>
      <c r="C194" s="19"/>
      <c r="E194" s="5"/>
      <c r="F194" s="21"/>
    </row>
    <row r="195" spans="2:6">
      <c r="B195" s="1"/>
      <c r="C195" s="19"/>
      <c r="E195" s="5"/>
      <c r="F195" s="21"/>
    </row>
    <row r="196" spans="2:6">
      <c r="B196" s="1"/>
      <c r="C196" s="19"/>
      <c r="E196" s="5"/>
      <c r="F196" s="21"/>
    </row>
    <row r="197" spans="2:6">
      <c r="B197" s="1"/>
      <c r="C197" s="19"/>
      <c r="E197" s="5"/>
      <c r="F197" s="21"/>
    </row>
    <row r="198" spans="2:6">
      <c r="B198" s="1"/>
      <c r="C198" s="19"/>
      <c r="E198" s="5"/>
      <c r="F198" s="21"/>
    </row>
    <row r="199" spans="2:6">
      <c r="B199" s="1"/>
      <c r="C199" s="19"/>
      <c r="E199" s="5"/>
      <c r="F199" s="21"/>
    </row>
    <row r="200" spans="2:6">
      <c r="B200" s="1"/>
      <c r="C200" s="19"/>
      <c r="E200" s="5"/>
      <c r="F200" s="21"/>
    </row>
    <row r="201" spans="2:6">
      <c r="B201" s="1"/>
      <c r="C201" s="19"/>
      <c r="E201" s="5"/>
      <c r="F201" s="21"/>
    </row>
    <row r="202" spans="2:6">
      <c r="B202" s="1"/>
      <c r="C202" s="19"/>
      <c r="E202" s="5"/>
      <c r="F202" s="21"/>
    </row>
    <row r="203" spans="2:6">
      <c r="B203" s="1"/>
      <c r="C203" s="19"/>
      <c r="E203" s="5"/>
      <c r="F203" s="21"/>
    </row>
    <row r="204" spans="2:6">
      <c r="B204" s="1"/>
      <c r="C204" s="19"/>
      <c r="E204" s="5"/>
      <c r="F204" s="21"/>
    </row>
    <row r="205" spans="2:6">
      <c r="B205" s="1"/>
      <c r="C205" s="19"/>
      <c r="E205" s="5"/>
      <c r="F205" s="21"/>
    </row>
    <row r="206" spans="2:6">
      <c r="B206" s="1"/>
      <c r="C206" s="19"/>
      <c r="E206" s="5"/>
      <c r="F206" s="21"/>
    </row>
    <row r="207" spans="2:6">
      <c r="B207" s="1"/>
      <c r="C207" s="19"/>
      <c r="E207" s="5"/>
      <c r="F207" s="21"/>
    </row>
    <row r="208" spans="2:6">
      <c r="B208" s="1"/>
      <c r="C208" s="19"/>
      <c r="E208" s="5"/>
      <c r="F208" s="21"/>
    </row>
    <row r="209" spans="2:6">
      <c r="B209" s="1"/>
      <c r="C209" s="19"/>
      <c r="E209" s="5"/>
      <c r="F209" s="21"/>
    </row>
    <row r="210" spans="2:6">
      <c r="B210" s="1"/>
      <c r="C210" s="19"/>
      <c r="E210" s="5"/>
      <c r="F210" s="21"/>
    </row>
    <row r="211" spans="2:6">
      <c r="B211" s="1"/>
      <c r="C211" s="19"/>
      <c r="E211" s="5"/>
      <c r="F211" s="21"/>
    </row>
    <row r="212" spans="2:6">
      <c r="B212" s="1"/>
      <c r="C212" s="19"/>
      <c r="E212" s="5"/>
      <c r="F212" s="21"/>
    </row>
    <row r="213" spans="2:6">
      <c r="B213" s="1"/>
      <c r="C213" s="19"/>
      <c r="E213" s="5"/>
      <c r="F213" s="21"/>
    </row>
    <row r="214" spans="2:6">
      <c r="B214" s="1"/>
      <c r="C214" s="19"/>
      <c r="E214" s="5"/>
      <c r="F214" s="21"/>
    </row>
    <row r="215" spans="2:6">
      <c r="B215" s="1"/>
      <c r="C215" s="19"/>
      <c r="E215" s="5"/>
      <c r="F215" s="21"/>
    </row>
    <row r="216" spans="2:6">
      <c r="B216" s="1"/>
      <c r="C216" s="19"/>
      <c r="E216" s="5"/>
      <c r="F216" s="21"/>
    </row>
    <row r="217" spans="2:6">
      <c r="B217" s="1"/>
      <c r="C217" s="19"/>
      <c r="E217" s="5"/>
      <c r="F217" s="21"/>
    </row>
    <row r="218" spans="2:6">
      <c r="B218" s="1"/>
      <c r="C218" s="19"/>
      <c r="E218" s="5"/>
      <c r="F218" s="21"/>
    </row>
    <row r="219" spans="2:6">
      <c r="B219" s="1"/>
      <c r="C219" s="19"/>
      <c r="E219" s="5"/>
      <c r="F219" s="21"/>
    </row>
    <row r="220" spans="2:6">
      <c r="B220" s="1"/>
      <c r="C220" s="19"/>
      <c r="E220" s="5"/>
      <c r="F220" s="21"/>
    </row>
    <row r="221" spans="2:6">
      <c r="B221" s="1"/>
      <c r="C221" s="19"/>
      <c r="E221" s="5"/>
      <c r="F221" s="21"/>
    </row>
    <row r="222" spans="2:6">
      <c r="B222" s="1"/>
      <c r="C222" s="19"/>
      <c r="E222" s="5"/>
      <c r="F222" s="21"/>
    </row>
    <row r="223" spans="2:6">
      <c r="B223" s="1"/>
      <c r="C223" s="19"/>
      <c r="E223" s="5"/>
      <c r="F223" s="21"/>
    </row>
    <row r="224" spans="2:6">
      <c r="B224" s="1"/>
      <c r="C224" s="19"/>
      <c r="E224" s="5"/>
      <c r="F224" s="21"/>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3976-0D9C-4A39-B8E3-4B8E3DC518DE}">
  <sheetPr>
    <tabColor theme="9" tint="0.59999389629810485"/>
  </sheetPr>
  <dimension ref="A3:Q34"/>
  <sheetViews>
    <sheetView zoomScaleNormal="100" workbookViewId="0">
      <pane xSplit="2" topLeftCell="D1" activePane="topRight" state="frozen"/>
      <selection pane="topRight" activeCell="J16" sqref="J16"/>
    </sheetView>
  </sheetViews>
  <sheetFormatPr defaultRowHeight="15"/>
  <cols>
    <col min="1" max="1" width="9.5703125" customWidth="1"/>
    <col min="2" max="2" width="53.7109375" customWidth="1"/>
    <col min="3" max="3" width="20.140625" customWidth="1"/>
    <col min="4" max="4" width="30.85546875" bestFit="1" customWidth="1"/>
    <col min="5" max="7" width="20.140625" customWidth="1"/>
    <col min="8" max="9" width="20.140625" style="22" customWidth="1"/>
    <col min="10" max="13" width="11.7109375" customWidth="1"/>
    <col min="14" max="14" width="20.140625" customWidth="1"/>
    <col min="15" max="16" width="11.7109375" customWidth="1"/>
    <col min="17" max="17" width="11.7109375" style="22" customWidth="1"/>
  </cols>
  <sheetData>
    <row r="3" spans="1:17">
      <c r="A3" s="22"/>
      <c r="B3" s="22"/>
      <c r="C3" s="22"/>
      <c r="D3" s="22"/>
      <c r="E3" s="22"/>
      <c r="F3" s="22"/>
      <c r="G3" s="22"/>
      <c r="J3" s="360" t="s">
        <v>47</v>
      </c>
      <c r="K3" s="360"/>
      <c r="L3" s="360"/>
      <c r="M3" s="360"/>
      <c r="N3" s="360" t="s">
        <v>48</v>
      </c>
      <c r="O3" s="360"/>
      <c r="P3" s="360"/>
      <c r="Q3" s="360"/>
    </row>
    <row r="4" spans="1:17" ht="60">
      <c r="A4" s="174" t="s">
        <v>49</v>
      </c>
      <c r="B4" s="174" t="s">
        <v>50</v>
      </c>
      <c r="C4" s="174" t="s">
        <v>51</v>
      </c>
      <c r="D4" s="174" t="s">
        <v>52</v>
      </c>
      <c r="E4" s="174" t="s">
        <v>53</v>
      </c>
      <c r="F4" s="174" t="s">
        <v>54</v>
      </c>
      <c r="G4" s="175" t="s">
        <v>55</v>
      </c>
      <c r="H4" s="175" t="s">
        <v>56</v>
      </c>
      <c r="I4" s="175" t="s">
        <v>57</v>
      </c>
      <c r="J4" s="175" t="s">
        <v>58</v>
      </c>
      <c r="K4" s="175" t="s">
        <v>59</v>
      </c>
      <c r="L4" s="176" t="s">
        <v>60</v>
      </c>
      <c r="M4" s="176" t="s">
        <v>61</v>
      </c>
      <c r="N4" s="175" t="s">
        <v>58</v>
      </c>
      <c r="O4" s="175" t="s">
        <v>59</v>
      </c>
      <c r="P4" s="176" t="s">
        <v>60</v>
      </c>
      <c r="Q4" s="176" t="s">
        <v>61</v>
      </c>
    </row>
    <row r="5" spans="1:17" s="14" customFormat="1">
      <c r="A5" s="206" t="s">
        <v>62</v>
      </c>
      <c r="B5" s="206" t="s">
        <v>63</v>
      </c>
      <c r="C5" s="177" t="s">
        <v>63</v>
      </c>
      <c r="D5" s="170" t="s">
        <v>64</v>
      </c>
      <c r="E5" s="139">
        <v>43924</v>
      </c>
      <c r="F5" s="168"/>
      <c r="G5" s="178">
        <f>G9</f>
        <v>23059750</v>
      </c>
      <c r="H5" s="178">
        <f>ROUND(G5/10^6,-2)</f>
        <v>0</v>
      </c>
      <c r="I5" s="143" t="s">
        <v>62</v>
      </c>
      <c r="J5" s="354">
        <f>VLOOKUP(D5,'Total Table 3+ Data'!N:S,6,FALSE)</f>
        <v>100</v>
      </c>
      <c r="K5" s="79" t="s">
        <v>62</v>
      </c>
      <c r="L5" s="79" t="s">
        <v>62</v>
      </c>
      <c r="M5" s="79" t="s">
        <v>62</v>
      </c>
      <c r="N5" s="354">
        <f>VLOOKUP(D5,'Total Table 3+ Data'!C:H,6,FALSE)</f>
        <v>130</v>
      </c>
      <c r="O5" s="79" t="s">
        <v>62</v>
      </c>
      <c r="P5" s="79" t="s">
        <v>62</v>
      </c>
      <c r="Q5" s="79" t="s">
        <v>62</v>
      </c>
    </row>
    <row r="6" spans="1:17" s="14" customFormat="1" ht="17.25">
      <c r="A6" s="206">
        <v>1</v>
      </c>
      <c r="B6" s="206" t="s">
        <v>65</v>
      </c>
      <c r="C6" s="209" t="s">
        <v>66</v>
      </c>
      <c r="D6" s="209" t="s">
        <v>67</v>
      </c>
      <c r="E6" s="208">
        <v>43923</v>
      </c>
      <c r="F6" s="207">
        <v>0.3888888888888889</v>
      </c>
      <c r="G6" s="178">
        <f>SUM(WOHuske!M71:M166)-SUM(Summary!G7:G15)-'Onsite GW Flow'!H11+'Chemours Intake'!D2</f>
        <v>3400303560.8838491</v>
      </c>
      <c r="H6" s="178">
        <f>ROUND(G6/10^6,-2)</f>
        <v>3400</v>
      </c>
      <c r="I6" s="143" t="s">
        <v>62</v>
      </c>
      <c r="J6" s="354" t="s">
        <v>68</v>
      </c>
      <c r="K6" s="205">
        <v>0</v>
      </c>
      <c r="L6" s="103">
        <f>K6/$K$19</f>
        <v>0</v>
      </c>
      <c r="M6" s="103">
        <f>K6/$K$20</f>
        <v>0</v>
      </c>
      <c r="N6" s="354" t="s">
        <v>68</v>
      </c>
      <c r="O6" s="179">
        <v>0</v>
      </c>
      <c r="P6" s="103">
        <f>O6/$O$19</f>
        <v>0</v>
      </c>
      <c r="Q6" s="103">
        <f>O6/$O$20</f>
        <v>0</v>
      </c>
    </row>
    <row r="7" spans="1:17">
      <c r="A7" s="357">
        <v>2</v>
      </c>
      <c r="B7" s="357" t="s">
        <v>13</v>
      </c>
      <c r="C7" s="170" t="s">
        <v>69</v>
      </c>
      <c r="D7" s="170" t="s">
        <v>70</v>
      </c>
      <c r="E7" s="180">
        <v>43924</v>
      </c>
      <c r="F7" s="168">
        <v>0.59166666666666667</v>
      </c>
      <c r="G7" s="181">
        <f>'Willis Creek'!G25*60*24</f>
        <v>7695210.3896103911</v>
      </c>
      <c r="H7" s="182">
        <f>G7/10^6</f>
        <v>7.6952103896103914</v>
      </c>
      <c r="I7" s="143" t="s">
        <v>62</v>
      </c>
      <c r="J7" s="354">
        <f>VLOOKUP(D7,'Total Table 3+ Data'!N:S,6,FALSE)</f>
        <v>2000</v>
      </c>
      <c r="K7" s="183">
        <f>G7*3.785*J7/86400/10^6</f>
        <v>0.67422155844155862</v>
      </c>
      <c r="L7" s="103">
        <f>K7/$K$19</f>
        <v>4.4872281302737592E-2</v>
      </c>
      <c r="M7" s="103">
        <f>K7/$K$20</f>
        <v>2.6997572579208651E-2</v>
      </c>
      <c r="N7" s="354">
        <f>VLOOKUP(D7,'Total Table 3+ Data'!C:H,6,FALSE)</f>
        <v>2400</v>
      </c>
      <c r="O7" s="183">
        <f>G7*3.785*N7/86400/10^6</f>
        <v>0.8090658701298703</v>
      </c>
      <c r="P7" s="103">
        <f>O7/$O$19</f>
        <v>5.0684773512806355E-2</v>
      </c>
      <c r="Q7" s="103">
        <f>O7/$O$20</f>
        <v>3.1190662857687172E-2</v>
      </c>
    </row>
    <row r="8" spans="1:17" s="22" customFormat="1">
      <c r="A8" s="357">
        <v>3</v>
      </c>
      <c r="B8" s="357" t="s">
        <v>71</v>
      </c>
      <c r="C8" s="143" t="s">
        <v>62</v>
      </c>
      <c r="D8" s="143" t="s">
        <v>62</v>
      </c>
      <c r="E8" s="143" t="s">
        <v>62</v>
      </c>
      <c r="F8" s="143" t="s">
        <v>62</v>
      </c>
      <c r="G8" s="143" t="s">
        <v>62</v>
      </c>
      <c r="H8" s="143" t="s">
        <v>62</v>
      </c>
      <c r="I8" s="143" t="s">
        <v>62</v>
      </c>
      <c r="J8" s="354" t="s">
        <v>62</v>
      </c>
      <c r="K8" s="183">
        <f>'Direct Aerial Deposition'!N160</f>
        <v>1.8082382314770058E-2</v>
      </c>
      <c r="L8" s="185">
        <f>K8/$K$19</f>
        <v>1.203458619340991E-3</v>
      </c>
      <c r="M8" s="185">
        <f>K8/$K$20</f>
        <v>7.2406529105420025E-4</v>
      </c>
      <c r="N8" s="354" t="s">
        <v>62</v>
      </c>
      <c r="O8" s="184">
        <f>'Direct Aerial Deposition'!N161</f>
        <v>1.8670975130698677E-2</v>
      </c>
      <c r="P8" s="185">
        <f>O8/$O$19</f>
        <v>1.1696626698772968E-3</v>
      </c>
      <c r="Q8" s="185">
        <f>O8/$O$20</f>
        <v>7.1979317386408148E-4</v>
      </c>
    </row>
    <row r="9" spans="1:17" ht="17.25">
      <c r="A9" s="357">
        <v>4</v>
      </c>
      <c r="B9" s="357" t="s">
        <v>72</v>
      </c>
      <c r="C9" s="170" t="s">
        <v>73</v>
      </c>
      <c r="D9" s="186" t="s">
        <v>74</v>
      </c>
      <c r="E9" s="180">
        <v>43924</v>
      </c>
      <c r="F9" s="168">
        <v>0.60833333333333328</v>
      </c>
      <c r="G9" s="181">
        <f>'Outfall 002'!E4</f>
        <v>23059750</v>
      </c>
      <c r="H9" s="142">
        <f>G9/10^6</f>
        <v>23.059750000000001</v>
      </c>
      <c r="I9" s="143" t="s">
        <v>62</v>
      </c>
      <c r="J9" s="354">
        <f>VLOOKUP(D9,'Total Table 3+ Data'!N:S,6,FALSE)-J5</f>
        <v>80</v>
      </c>
      <c r="K9" s="183">
        <f>G9*3.785*J9/86400/10^6</f>
        <v>8.0815883101851851E-2</v>
      </c>
      <c r="L9" s="185">
        <f>K9/$K$19</f>
        <v>5.3786370294324976E-3</v>
      </c>
      <c r="M9" s="103">
        <f>K9/$K$20</f>
        <v>3.2360766906331553E-3</v>
      </c>
      <c r="N9" s="354">
        <f>VLOOKUP(D9,'Total Table 3+ Data'!C:H,6,FALSE)-N5</f>
        <v>190</v>
      </c>
      <c r="O9" s="183">
        <f>G9*3.785*N9/86400/10^6</f>
        <v>0.19193772236689816</v>
      </c>
      <c r="P9" s="103">
        <f>O9/$O$19</f>
        <v>1.2024138387111251E-2</v>
      </c>
      <c r="Q9" s="103">
        <f>O9/$O$20</f>
        <v>7.3994776062637647E-3</v>
      </c>
    </row>
    <row r="10" spans="1:17" s="22" customFormat="1" ht="17.25">
      <c r="A10" s="359">
        <v>5</v>
      </c>
      <c r="B10" s="357" t="s">
        <v>75</v>
      </c>
      <c r="C10" s="143" t="s">
        <v>62</v>
      </c>
      <c r="D10" s="143" t="s">
        <v>62</v>
      </c>
      <c r="E10" s="143" t="s">
        <v>62</v>
      </c>
      <c r="F10" s="143" t="s">
        <v>62</v>
      </c>
      <c r="G10" s="143" t="s">
        <v>62</v>
      </c>
      <c r="H10" s="143" t="s">
        <v>62</v>
      </c>
      <c r="I10" s="143" t="s">
        <v>62</v>
      </c>
      <c r="J10" s="354" t="s">
        <v>62</v>
      </c>
      <c r="K10" s="187">
        <f>'Onsite GW Summary'!P13</f>
        <v>0.78823872166003528</v>
      </c>
      <c r="L10" s="351">
        <f>K10/$K$19</f>
        <v>5.2460603208530084E-2</v>
      </c>
      <c r="M10" s="351"/>
      <c r="N10" s="354" t="s">
        <v>62</v>
      </c>
      <c r="O10" s="184">
        <f>'Onsite GW Summary'!T13</f>
        <v>0.79373703901783421</v>
      </c>
      <c r="P10" s="103">
        <f>O10/$O$19</f>
        <v>4.9724482933493082E-2</v>
      </c>
      <c r="Q10" s="103"/>
    </row>
    <row r="11" spans="1:17" s="22" customFormat="1" ht="17.25">
      <c r="A11" s="359"/>
      <c r="B11" s="357" t="s">
        <v>76</v>
      </c>
      <c r="C11" s="143" t="s">
        <v>62</v>
      </c>
      <c r="D11" s="143" t="s">
        <v>62</v>
      </c>
      <c r="E11" s="143" t="s">
        <v>62</v>
      </c>
      <c r="F11" s="143" t="s">
        <v>62</v>
      </c>
      <c r="G11" s="143" t="s">
        <v>62</v>
      </c>
      <c r="H11" s="143" t="s">
        <v>62</v>
      </c>
      <c r="I11" s="143" t="s">
        <v>62</v>
      </c>
      <c r="J11" s="354" t="s">
        <v>62</v>
      </c>
      <c r="K11" s="188">
        <f>'Onsite GW Summary'!Q13</f>
        <v>10.736306639458459</v>
      </c>
      <c r="L11" s="351"/>
      <c r="M11" s="352">
        <f t="shared" ref="M11:M18" si="0">K11/$K$20</f>
        <v>0.42990944757300276</v>
      </c>
      <c r="N11" s="354" t="s">
        <v>62</v>
      </c>
      <c r="O11" s="105">
        <f>'Onsite GW Summary'!U13</f>
        <v>10.770397535511945</v>
      </c>
      <c r="P11" s="103"/>
      <c r="Q11" s="104">
        <f t="shared" ref="Q11:Q18" si="1">O11/$O$20</f>
        <v>0.41521444764379178</v>
      </c>
    </row>
    <row r="12" spans="1:17">
      <c r="A12" s="357" t="s">
        <v>77</v>
      </c>
      <c r="B12" s="357" t="s">
        <v>27</v>
      </c>
      <c r="C12" s="132" t="s">
        <v>78</v>
      </c>
      <c r="D12" s="170" t="s">
        <v>79</v>
      </c>
      <c r="E12" s="180">
        <v>43924</v>
      </c>
      <c r="F12" s="168">
        <v>0.59027777777777779</v>
      </c>
      <c r="G12" s="189">
        <f>'Seep A'!K2</f>
        <v>249128.90668181126</v>
      </c>
      <c r="H12" s="182">
        <f>G12/10^6</f>
        <v>0.24912890668181126</v>
      </c>
      <c r="I12" s="143" t="s">
        <v>62</v>
      </c>
      <c r="J12" s="354">
        <f>VLOOKUP(D12,'Total Table 3+ Data'!N:S,6,FALSE)</f>
        <v>260000</v>
      </c>
      <c r="K12" s="183">
        <f>G12*3.785*J12/86400/10^6</f>
        <v>2.83758978085151</v>
      </c>
      <c r="L12" s="103">
        <f t="shared" ref="L12:L18" si="2">K12/$K$19</f>
        <v>0.1888535382381715</v>
      </c>
      <c r="M12" s="104">
        <f t="shared" si="0"/>
        <v>0.11362442375120194</v>
      </c>
      <c r="N12" s="354">
        <f>VLOOKUP(D12,'Total Table 3+ Data'!C:H,6,FALSE)</f>
        <v>290000</v>
      </c>
      <c r="O12" s="183">
        <f>G12*3.785*N12/86400/10^6</f>
        <v>3.1650039863343769</v>
      </c>
      <c r="P12" s="104">
        <f t="shared" ref="P12:P18" si="3">O12/$O$19</f>
        <v>0.19827496887087465</v>
      </c>
      <c r="Q12" s="104">
        <f t="shared" si="1"/>
        <v>0.12201549456677155</v>
      </c>
    </row>
    <row r="13" spans="1:17">
      <c r="A13" s="357" t="s">
        <v>80</v>
      </c>
      <c r="B13" s="357" t="s">
        <v>29</v>
      </c>
      <c r="C13" s="132" t="s">
        <v>81</v>
      </c>
      <c r="D13" s="170" t="s">
        <v>82</v>
      </c>
      <c r="E13" s="180">
        <v>43924</v>
      </c>
      <c r="F13" s="168">
        <v>0.60138888888888886</v>
      </c>
      <c r="G13" s="189">
        <f>SUM('Seep B'!K2,'Seep B'!W2,'Seep B'!AI2)</f>
        <v>219125.56239545575</v>
      </c>
      <c r="H13" s="182">
        <f>G13/10^6</f>
        <v>0.21912556239545575</v>
      </c>
      <c r="I13" s="143" t="s">
        <v>62</v>
      </c>
      <c r="J13" s="354">
        <f>VLOOKUP(D13,'Total Table 3+ Data'!N:S,6,FALSE)</f>
        <v>310000</v>
      </c>
      <c r="K13" s="183">
        <f>G13*3.785*J13/86400/10^6</f>
        <v>2.9758215119989355</v>
      </c>
      <c r="L13" s="103">
        <f t="shared" si="2"/>
        <v>0.19805344151529183</v>
      </c>
      <c r="M13" s="104">
        <f t="shared" si="0"/>
        <v>0.11915957929121239</v>
      </c>
      <c r="N13" s="354">
        <f>VLOOKUP(D13,'Total Table 3+ Data'!C:H,6,FALSE)</f>
        <v>340000</v>
      </c>
      <c r="O13" s="183">
        <f>G13*3.785*N13/86400/10^6</f>
        <v>3.2638042389665745</v>
      </c>
      <c r="P13" s="104">
        <f t="shared" si="3"/>
        <v>0.20446441352865902</v>
      </c>
      <c r="Q13" s="104">
        <f t="shared" si="1"/>
        <v>0.12582438761723547</v>
      </c>
    </row>
    <row r="14" spans="1:17">
      <c r="A14" s="357" t="s">
        <v>83</v>
      </c>
      <c r="B14" s="357" t="s">
        <v>31</v>
      </c>
      <c r="C14" s="132" t="s">
        <v>84</v>
      </c>
      <c r="D14" s="170" t="s">
        <v>85</v>
      </c>
      <c r="E14" s="180">
        <v>43924</v>
      </c>
      <c r="F14" s="168">
        <v>0.60416666666666663</v>
      </c>
      <c r="G14" s="189">
        <f>'Seep C'!K2</f>
        <v>91404.59364757601</v>
      </c>
      <c r="H14" s="190">
        <f>G14/10^6</f>
        <v>9.1404593647576013E-2</v>
      </c>
      <c r="I14" s="143" t="s">
        <v>62</v>
      </c>
      <c r="J14" s="354">
        <f>VLOOKUP(D14,'Total Table 3+ Data'!N:S,6,FALSE)</f>
        <v>310000</v>
      </c>
      <c r="K14" s="183">
        <f>G14*3.785*J14/86400/10^6</f>
        <v>1.2413145828285106</v>
      </c>
      <c r="L14" s="103">
        <f t="shared" si="2"/>
        <v>8.261470795241474E-2</v>
      </c>
      <c r="M14" s="103">
        <f t="shared" si="0"/>
        <v>4.9705441963330037E-2</v>
      </c>
      <c r="N14" s="354">
        <f>VLOOKUP(D14,'Total Table 3+ Data'!C:H,6,FALSE)</f>
        <v>320000</v>
      </c>
      <c r="O14" s="183">
        <f>G14*3.785*N14/86400/10^6</f>
        <v>1.2813569887262044</v>
      </c>
      <c r="P14" s="103">
        <f t="shared" si="3"/>
        <v>8.0271942199482832E-2</v>
      </c>
      <c r="Q14" s="103">
        <f t="shared" si="1"/>
        <v>4.9398170546095278E-2</v>
      </c>
    </row>
    <row r="15" spans="1:17" ht="17.25">
      <c r="A15" s="357" t="s">
        <v>86</v>
      </c>
      <c r="B15" s="357" t="s">
        <v>87</v>
      </c>
      <c r="C15" s="132" t="s">
        <v>88</v>
      </c>
      <c r="D15" s="170" t="s">
        <v>89</v>
      </c>
      <c r="E15" s="180">
        <v>43924</v>
      </c>
      <c r="F15" s="168">
        <v>0.60625000000000007</v>
      </c>
      <c r="G15" s="191">
        <f>'Seep D'!P3</f>
        <v>174828.38409593585</v>
      </c>
      <c r="H15" s="182">
        <f>G15/10^6</f>
        <v>0.17482838409593585</v>
      </c>
      <c r="I15" s="143" t="s">
        <v>62</v>
      </c>
      <c r="J15" s="354">
        <f>VLOOKUP(D15,'Total Table 3+ Data'!N:S,6,FALSE)</f>
        <v>180000</v>
      </c>
      <c r="K15" s="183">
        <f>G15*3.785*J15/86400/10^6</f>
        <v>1.3785946537564944</v>
      </c>
      <c r="L15" s="103">
        <f t="shared" si="2"/>
        <v>9.1751274238101393E-2</v>
      </c>
      <c r="M15" s="103">
        <f t="shared" si="0"/>
        <v>5.5202490570206361E-2</v>
      </c>
      <c r="N15" s="354">
        <f>VLOOKUP(D15,'Total Table 3+ Data'!C:H,6,FALSE)</f>
        <v>180000</v>
      </c>
      <c r="O15" s="183">
        <f>G15*3.785*N15/86400/10^6</f>
        <v>1.3785946537564944</v>
      </c>
      <c r="P15" s="103">
        <f t="shared" si="3"/>
        <v>8.6363496930599179E-2</v>
      </c>
      <c r="Q15" s="103">
        <f t="shared" si="1"/>
        <v>5.3146823577945021E-2</v>
      </c>
    </row>
    <row r="16" spans="1:17">
      <c r="A16" s="357">
        <v>7</v>
      </c>
      <c r="B16" s="357" t="s">
        <v>90</v>
      </c>
      <c r="C16" s="132" t="s">
        <v>91</v>
      </c>
      <c r="D16" s="170" t="s">
        <v>92</v>
      </c>
      <c r="E16" s="180">
        <v>43924</v>
      </c>
      <c r="F16" s="168">
        <v>0.61249999999999993</v>
      </c>
      <c r="G16" s="189">
        <f>'Old Outfall'!K2</f>
        <v>932407.77933152602</v>
      </c>
      <c r="H16" s="182">
        <f>G16/10^6</f>
        <v>0.93240777933152597</v>
      </c>
      <c r="I16" s="143" t="s">
        <v>62</v>
      </c>
      <c r="J16" s="354">
        <f>VLOOKUP(D16,'Total Table 3+ Data'!N:S,6,FALSE)</f>
        <v>110000</v>
      </c>
      <c r="K16" s="183">
        <f>G16*3.785*J16/86400/10^6</f>
        <v>4.4931479042208435</v>
      </c>
      <c r="L16" s="103">
        <f t="shared" si="2"/>
        <v>0.29903789662115904</v>
      </c>
      <c r="M16" s="104">
        <f t="shared" si="0"/>
        <v>0.17991724698586017</v>
      </c>
      <c r="N16" s="354">
        <f>VLOOKUP(D16,'Total Table 3+ Data'!C:H,6,FALSE)</f>
        <v>110000</v>
      </c>
      <c r="O16" s="183">
        <f>G16*3.785*N16/86400/10^6</f>
        <v>4.4931479042208435</v>
      </c>
      <c r="P16" s="104">
        <f t="shared" si="3"/>
        <v>0.28147792694359774</v>
      </c>
      <c r="Q16" s="104">
        <f t="shared" si="1"/>
        <v>0.17321736909725316</v>
      </c>
    </row>
    <row r="17" spans="1:17" s="22" customFormat="1">
      <c r="A17" s="357">
        <v>8</v>
      </c>
      <c r="B17" s="357" t="s">
        <v>93</v>
      </c>
      <c r="C17" s="143" t="s">
        <v>62</v>
      </c>
      <c r="D17" s="143" t="s">
        <v>62</v>
      </c>
      <c r="E17" s="143" t="s">
        <v>62</v>
      </c>
      <c r="F17" s="143" t="s">
        <v>62</v>
      </c>
      <c r="G17" s="143" t="s">
        <v>62</v>
      </c>
      <c r="H17" s="143" t="s">
        <v>62</v>
      </c>
      <c r="I17" s="143" t="s">
        <v>62</v>
      </c>
      <c r="J17" s="354" t="s">
        <v>62</v>
      </c>
      <c r="K17" s="204">
        <f>K6*AdjDownstreamOffsiteGW!$C$7</f>
        <v>0</v>
      </c>
      <c r="L17" s="103">
        <f t="shared" si="2"/>
        <v>0</v>
      </c>
      <c r="M17" s="103">
        <f t="shared" si="0"/>
        <v>0</v>
      </c>
      <c r="N17" s="354" t="s">
        <v>62</v>
      </c>
      <c r="O17" s="184">
        <f>K17</f>
        <v>0</v>
      </c>
      <c r="P17" s="103">
        <f t="shared" si="3"/>
        <v>0</v>
      </c>
      <c r="Q17" s="103">
        <f t="shared" si="1"/>
        <v>0</v>
      </c>
    </row>
    <row r="18" spans="1:17">
      <c r="A18" s="357">
        <v>9</v>
      </c>
      <c r="B18" s="357" t="s">
        <v>39</v>
      </c>
      <c r="C18" s="170" t="s">
        <v>94</v>
      </c>
      <c r="D18" s="170" t="s">
        <v>95</v>
      </c>
      <c r="E18" s="180">
        <v>43923</v>
      </c>
      <c r="F18" s="168">
        <v>0.57291666666666663</v>
      </c>
      <c r="G18" s="189">
        <f>'Georgia Branch Creek'!H22*60*24</f>
        <v>6816623.3766233772</v>
      </c>
      <c r="H18" s="192">
        <f>G18/10^6</f>
        <v>6.8166233766233768</v>
      </c>
      <c r="I18" s="143" t="s">
        <v>62</v>
      </c>
      <c r="J18" s="354">
        <f>VLOOKUP(D18,'Total Table 3+ Data'!N:S,6,FALSE)</f>
        <v>1800</v>
      </c>
      <c r="K18" s="183">
        <f>G18*3.785*J18/86400/10^6</f>
        <v>0.53751915584415588</v>
      </c>
      <c r="L18" s="103">
        <f t="shared" si="2"/>
        <v>3.5774161274820318E-2</v>
      </c>
      <c r="M18" s="103">
        <f t="shared" si="0"/>
        <v>2.1523655304290359E-2</v>
      </c>
      <c r="N18" s="354">
        <f>VLOOKUP(D18,'Total Table 3+ Data'!C:H,6,FALSE)</f>
        <v>1900</v>
      </c>
      <c r="O18" s="183">
        <f>G18*3.785*N18/86400/10^6</f>
        <v>0.56738133116883127</v>
      </c>
      <c r="P18" s="103">
        <f t="shared" si="3"/>
        <v>3.5544194023498552E-2</v>
      </c>
      <c r="Q18" s="103">
        <f t="shared" si="1"/>
        <v>2.187337331309263E-2</v>
      </c>
    </row>
    <row r="19" spans="1:17">
      <c r="A19" s="134" t="s">
        <v>96</v>
      </c>
      <c r="B19" s="193"/>
      <c r="C19" s="138"/>
      <c r="D19" s="195"/>
      <c r="E19" s="139"/>
      <c r="F19" s="138"/>
      <c r="G19" s="138"/>
      <c r="H19" s="141"/>
      <c r="I19" s="141"/>
      <c r="J19" s="354"/>
      <c r="K19" s="144">
        <f>SUM(K6:K10,K12:K18)</f>
        <v>15.025346135018665</v>
      </c>
      <c r="L19" s="144"/>
      <c r="M19" s="144"/>
      <c r="N19" s="354"/>
      <c r="O19" s="144">
        <f>SUM(O6:O10,O12:O18)</f>
        <v>15.962700709818627</v>
      </c>
      <c r="P19" s="132"/>
      <c r="Q19" s="132"/>
    </row>
    <row r="20" spans="1:17" s="22" customFormat="1">
      <c r="A20" s="134" t="s">
        <v>97</v>
      </c>
      <c r="B20" s="193"/>
      <c r="C20" s="138"/>
      <c r="D20" s="195"/>
      <c r="E20" s="139"/>
      <c r="F20" s="138"/>
      <c r="G20" s="138"/>
      <c r="H20" s="141"/>
      <c r="I20" s="141"/>
      <c r="J20" s="354"/>
      <c r="K20" s="144">
        <f>SUM(K6:K9,K11:K18)</f>
        <v>24.973414052817088</v>
      </c>
      <c r="L20" s="105"/>
      <c r="M20" s="105"/>
      <c r="N20" s="354"/>
      <c r="O20" s="144">
        <f>SUM(O6:O9,O11:O18)</f>
        <v>25.939361206312739</v>
      </c>
      <c r="P20" s="132"/>
      <c r="Q20" s="132"/>
    </row>
    <row r="21" spans="1:17" s="50" customFormat="1">
      <c r="A21" s="134" t="s">
        <v>98</v>
      </c>
      <c r="B21" s="137"/>
      <c r="C21" s="388" t="s">
        <v>99</v>
      </c>
      <c r="D21" s="195" t="s">
        <v>100</v>
      </c>
      <c r="E21" s="139">
        <v>43924</v>
      </c>
      <c r="F21" s="140">
        <v>0.625</v>
      </c>
      <c r="G21" s="141">
        <f>SUM(WOHuske!M166:M261)</f>
        <v>2546885835.0000019</v>
      </c>
      <c r="H21" s="142">
        <f>ROUND(G21/10^6,-1)</f>
        <v>2550</v>
      </c>
      <c r="I21" s="143" t="s">
        <v>62</v>
      </c>
      <c r="J21" s="354">
        <f>VLOOKUP(D21,'Total Table 3+ Data'!N:S,6,FALSE)</f>
        <v>120</v>
      </c>
      <c r="K21" s="144">
        <f>G21*3.785*J21/86400/10^6</f>
        <v>13.388837340937512</v>
      </c>
      <c r="L21" s="358"/>
      <c r="M21" s="358"/>
      <c r="N21" s="354">
        <f>VLOOKUP(D21,'Total Table 3+ Data'!C:H,6,FALSE)</f>
        <v>160</v>
      </c>
      <c r="O21" s="144">
        <f>G21*3.785*N21/86400/10^6</f>
        <v>17.851783121250016</v>
      </c>
      <c r="P21" s="358"/>
      <c r="Q21" s="358"/>
    </row>
    <row r="22" spans="1:17" s="50" customFormat="1">
      <c r="A22" s="133" t="s">
        <v>101</v>
      </c>
      <c r="B22" s="137"/>
      <c r="C22" s="388" t="s">
        <v>99</v>
      </c>
      <c r="D22" s="195" t="s">
        <v>102</v>
      </c>
      <c r="E22" s="139">
        <v>43923</v>
      </c>
      <c r="F22" s="168">
        <v>0.65625</v>
      </c>
      <c r="G22" s="169" t="s">
        <v>62</v>
      </c>
      <c r="H22" s="169" t="s">
        <v>62</v>
      </c>
      <c r="I22" s="354">
        <f>WOHuske!F172</f>
        <v>4740</v>
      </c>
      <c r="J22" s="354">
        <f>VLOOKUP(D22,'Total Table 3+ Data'!N:S,6,FALSE)</f>
        <v>91</v>
      </c>
      <c r="K22" s="144">
        <f>J22*I22*28.3168/10^6</f>
        <v>12.214168512000001</v>
      </c>
      <c r="L22" s="358"/>
      <c r="M22" s="358"/>
      <c r="N22" s="354">
        <f>VLOOKUP(D22,'Total Table 3+ Data'!C:H,6,FALSE)</f>
        <v>130</v>
      </c>
      <c r="O22" s="144">
        <f>N22*I22*28.3168/10^6</f>
        <v>17.448812159999999</v>
      </c>
      <c r="P22" s="358"/>
      <c r="Q22" s="358"/>
    </row>
    <row r="23" spans="1:17" s="22" customFormat="1">
      <c r="A23" s="133" t="s">
        <v>103</v>
      </c>
      <c r="B23" s="134"/>
      <c r="C23" s="170" t="s">
        <v>104</v>
      </c>
      <c r="D23" s="170" t="s">
        <v>105</v>
      </c>
      <c r="E23" s="180">
        <v>43923</v>
      </c>
      <c r="F23" s="168">
        <v>0.61458333333333337</v>
      </c>
      <c r="G23" s="143" t="s">
        <v>62</v>
      </c>
      <c r="H23" s="143" t="s">
        <v>62</v>
      </c>
      <c r="I23" s="142">
        <f>WOHuske!F176</f>
        <v>4690</v>
      </c>
      <c r="J23" s="354">
        <f>VLOOKUP(D23,'Total Table 3+ Data'!N:S,6,FALSE)</f>
        <v>87</v>
      </c>
      <c r="K23" s="144">
        <f>J23*I23*28.3168/10^6</f>
        <v>11.554103904000002</v>
      </c>
      <c r="L23" s="132"/>
      <c r="M23" s="132"/>
      <c r="N23" s="354">
        <f>VLOOKUP(D23,'Total Table 3+ Data'!C:H,6,FALSE)</f>
        <v>110</v>
      </c>
      <c r="O23" s="144">
        <f>N23*I23*28.3168/10^6</f>
        <v>14.608637120000001</v>
      </c>
      <c r="P23" s="132"/>
      <c r="Q23" s="132"/>
    </row>
    <row r="24" spans="1:17">
      <c r="A24" s="133" t="s">
        <v>106</v>
      </c>
      <c r="B24" s="133"/>
      <c r="C24" s="132" t="s">
        <v>107</v>
      </c>
      <c r="D24" s="170" t="s">
        <v>108</v>
      </c>
      <c r="E24" s="180">
        <v>43927</v>
      </c>
      <c r="F24" s="168">
        <v>0.42708333333333331</v>
      </c>
      <c r="G24" s="143" t="s">
        <v>62</v>
      </c>
      <c r="H24" s="143" t="s">
        <v>62</v>
      </c>
      <c r="I24" s="354">
        <f>'CFLockDam1-Kelly'!D74</f>
        <v>2890</v>
      </c>
      <c r="J24" s="354">
        <f>VLOOKUP(D24,'Total Table 3+ Data'!N:S,6,FALSE)</f>
        <v>98</v>
      </c>
      <c r="K24" s="194">
        <f>J24*I24*28.3168/10^6</f>
        <v>8.0198840960000002</v>
      </c>
      <c r="L24" s="132"/>
      <c r="M24" s="132"/>
      <c r="N24" s="354">
        <f>VLOOKUP(D24,'Total Table 3+ Data'!C:H,6,FALSE)</f>
        <v>130</v>
      </c>
      <c r="O24" s="144">
        <f>N24*I24*28.3168/10^6</f>
        <v>10.638621759999999</v>
      </c>
      <c r="P24" s="132"/>
      <c r="Q24" s="132"/>
    </row>
    <row r="25" spans="1:17">
      <c r="A25" s="22"/>
      <c r="B25" s="22"/>
      <c r="C25" s="22"/>
      <c r="D25" s="22"/>
      <c r="E25" s="22"/>
      <c r="F25" s="22"/>
      <c r="G25" s="22"/>
      <c r="J25" s="22"/>
      <c r="K25" s="49"/>
      <c r="L25" s="22"/>
      <c r="M25" s="22"/>
      <c r="N25" s="22"/>
      <c r="O25" s="22"/>
      <c r="P25" s="22"/>
    </row>
    <row r="26" spans="1:17">
      <c r="A26" s="171" t="s">
        <v>109</v>
      </c>
      <c r="B26" s="172"/>
      <c r="C26" s="172"/>
      <c r="D26" s="172"/>
      <c r="E26" s="172"/>
      <c r="F26" s="172"/>
      <c r="G26" s="172"/>
      <c r="H26" s="172"/>
      <c r="I26" s="172"/>
      <c r="J26" s="172"/>
      <c r="K26" s="172"/>
      <c r="L26" s="172"/>
      <c r="M26" s="173"/>
      <c r="N26" s="173"/>
      <c r="O26" s="173"/>
      <c r="P26" s="22"/>
    </row>
    <row r="27" spans="1:17" s="22" customFormat="1">
      <c r="A27" s="361" t="s">
        <v>110</v>
      </c>
      <c r="B27" s="361"/>
      <c r="C27" s="361"/>
      <c r="D27" s="361"/>
      <c r="E27" s="361"/>
      <c r="F27" s="361"/>
      <c r="G27" s="361"/>
      <c r="H27" s="361"/>
      <c r="I27" s="361"/>
      <c r="J27" s="361"/>
      <c r="K27" s="361"/>
      <c r="L27" s="361"/>
      <c r="M27" s="361"/>
      <c r="N27" s="361"/>
      <c r="O27" s="361"/>
    </row>
    <row r="28" spans="1:17">
      <c r="A28" s="361" t="s">
        <v>111</v>
      </c>
      <c r="B28" s="361"/>
      <c r="C28" s="361"/>
      <c r="D28" s="361"/>
      <c r="E28" s="361"/>
      <c r="F28" s="361"/>
      <c r="G28" s="361"/>
      <c r="H28" s="361"/>
      <c r="I28" s="361"/>
      <c r="J28" s="361"/>
      <c r="K28" s="361"/>
      <c r="L28" s="361"/>
      <c r="M28" s="361"/>
      <c r="N28" s="361"/>
      <c r="O28" s="361"/>
      <c r="P28" s="22"/>
    </row>
    <row r="29" spans="1:17">
      <c r="A29" s="361" t="s">
        <v>112</v>
      </c>
      <c r="B29" s="361"/>
      <c r="C29" s="361"/>
      <c r="D29" s="361"/>
      <c r="E29" s="361"/>
      <c r="F29" s="361"/>
      <c r="G29" s="361"/>
      <c r="H29" s="361"/>
      <c r="I29" s="361"/>
      <c r="J29" s="361"/>
      <c r="K29" s="361"/>
      <c r="L29" s="361"/>
      <c r="M29" s="361"/>
      <c r="N29" s="361"/>
      <c r="O29" s="361"/>
      <c r="P29" s="22"/>
    </row>
    <row r="30" spans="1:17">
      <c r="A30" s="361" t="s">
        <v>113</v>
      </c>
      <c r="B30" s="361"/>
      <c r="C30" s="361"/>
      <c r="D30" s="361"/>
      <c r="E30" s="361"/>
      <c r="F30" s="361"/>
      <c r="G30" s="361"/>
      <c r="H30" s="361"/>
      <c r="I30" s="361"/>
      <c r="J30" s="361"/>
      <c r="K30" s="361"/>
      <c r="L30" s="361"/>
      <c r="M30" s="361"/>
      <c r="N30" s="361"/>
      <c r="O30" s="361"/>
      <c r="P30" s="22"/>
    </row>
    <row r="31" spans="1:17">
      <c r="A31" s="361" t="s">
        <v>114</v>
      </c>
      <c r="B31" s="361"/>
      <c r="C31" s="361"/>
      <c r="D31" s="361"/>
      <c r="E31" s="361"/>
      <c r="F31" s="361"/>
      <c r="G31" s="361"/>
      <c r="H31" s="361"/>
      <c r="I31" s="361"/>
      <c r="J31" s="361"/>
      <c r="K31" s="361"/>
      <c r="L31" s="361"/>
      <c r="M31" s="361"/>
      <c r="N31" s="361"/>
      <c r="O31" s="361"/>
      <c r="P31" s="22"/>
    </row>
    <row r="32" spans="1:17">
      <c r="A32" s="361" t="s">
        <v>115</v>
      </c>
      <c r="B32" s="361"/>
      <c r="C32" s="361"/>
      <c r="D32" s="361"/>
      <c r="E32" s="361"/>
      <c r="F32" s="361"/>
      <c r="G32" s="361"/>
      <c r="H32" s="361"/>
      <c r="I32" s="361"/>
      <c r="J32" s="361"/>
      <c r="K32" s="361"/>
      <c r="L32" s="361"/>
      <c r="M32" s="361"/>
      <c r="N32" s="361"/>
      <c r="O32" s="361"/>
      <c r="P32" s="22"/>
    </row>
    <row r="34" spans="4:4">
      <c r="D34" s="23"/>
    </row>
  </sheetData>
  <sheetProtection sheet="1" objects="1" scenarios="1"/>
  <protectedRanges>
    <protectedRange algorithmName="SHA-512" hashValue="GhxKQe+0tti4ziT+sFdAVNSdDVzVKyw4J8vtwP+RKek41JlpTd0XEccYUgEPIgULz1XRxrp3iPlUgSUIWA5CrA==" saltValue="3I48IwnqTHUz0XZjhIM2Zg==" spinCount="100000" sqref="A18:D18 J8 J17 I21:I22 A12:D16 N10:N11 N17 N8 I12:I18 G22:H24 A10:J11 A17:H17 E8:H8 A4:D9 I5:I9" name="Locked"/>
  </protectedRanges>
  <mergeCells count="9">
    <mergeCell ref="A10:A11"/>
    <mergeCell ref="N3:Q3"/>
    <mergeCell ref="J3:M3"/>
    <mergeCell ref="A32:O32"/>
    <mergeCell ref="A27:O27"/>
    <mergeCell ref="A28:O28"/>
    <mergeCell ref="A29:O29"/>
    <mergeCell ref="A30:O30"/>
    <mergeCell ref="A31:O31"/>
  </mergeCells>
  <pageMargins left="0.7" right="0.7" top="0.75" bottom="0.75" header="0.3" footer="0.3"/>
  <pageSetup scale="89" orientation="portrait" r:id="rId1"/>
  <headerFooter>
    <oddHeader>&amp;LDRAFT - Privileged and Confidential
Attorney Work Product
&amp;C&amp;"Times New Roman,Bold"&amp;12TABLE C13
FLOW DATA FOR LOCK #1 NR KELLY, NC
Chemours Fayetteville Works, North Carolina&amp;R&amp;"Times New Roman,Regular"Geosyntec Consultants of NC P.C.</oddHeader>
    <oddFooter>&amp;L&amp;"Times New Roman,Regular"TR0795&amp;C&amp;"Times New Roman,Regular"Page &amp;P of &amp;N&amp;R&amp;"Times New Roman,Regular"June 2020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07A27-046B-4960-B2F3-5DE914057E99}">
  <sheetPr>
    <tabColor rgb="FFCCCCFF"/>
  </sheetPr>
  <dimension ref="A1:G12"/>
  <sheetViews>
    <sheetView workbookViewId="0">
      <selection activeCell="G36" sqref="G36"/>
    </sheetView>
  </sheetViews>
  <sheetFormatPr defaultColWidth="9.140625" defaultRowHeight="15"/>
  <cols>
    <col min="1" max="1" width="16" style="22" customWidth="1"/>
    <col min="2" max="3" width="18.5703125" style="22" customWidth="1"/>
    <col min="4" max="4" width="17" style="22" bestFit="1" customWidth="1"/>
    <col min="5" max="5" width="17.5703125" style="22" bestFit="1" customWidth="1"/>
    <col min="6" max="6" width="23.85546875" style="22" bestFit="1" customWidth="1"/>
    <col min="7" max="7" width="23.5703125" style="22" customWidth="1"/>
    <col min="8" max="16384" width="9.140625" style="22"/>
  </cols>
  <sheetData>
    <row r="1" spans="1:7" ht="15.75" thickBot="1">
      <c r="A1" s="22" t="s">
        <v>663</v>
      </c>
    </row>
    <row r="2" spans="1:7" ht="45.75" thickBot="1">
      <c r="A2" s="145" t="s">
        <v>244</v>
      </c>
      <c r="B2" s="146" t="s">
        <v>664</v>
      </c>
      <c r="C2" s="146" t="s">
        <v>665</v>
      </c>
      <c r="D2" s="146" t="s">
        <v>666</v>
      </c>
      <c r="E2" s="146" t="s">
        <v>667</v>
      </c>
      <c r="F2" s="146" t="s">
        <v>668</v>
      </c>
      <c r="G2" s="146" t="s">
        <v>669</v>
      </c>
    </row>
    <row r="3" spans="1:7" ht="15.75" thickBot="1">
      <c r="A3" s="147">
        <v>42865</v>
      </c>
      <c r="B3" s="148">
        <v>795</v>
      </c>
      <c r="C3" s="150">
        <f>1/B3</f>
        <v>1.2578616352201257E-3</v>
      </c>
      <c r="D3" s="148">
        <v>1.1599999999999999</v>
      </c>
      <c r="E3" s="148">
        <v>12.5</v>
      </c>
      <c r="F3" s="148">
        <v>18.5</v>
      </c>
      <c r="G3" s="148">
        <v>196</v>
      </c>
    </row>
    <row r="4" spans="1:7" ht="15.75" thickBot="1">
      <c r="A4" s="147">
        <v>42833</v>
      </c>
      <c r="B4" s="148">
        <v>925</v>
      </c>
      <c r="C4" s="150">
        <f t="shared" ref="C4:C12" si="0">1/B4</f>
        <v>1.0810810810810811E-3</v>
      </c>
      <c r="D4" s="148">
        <v>1.31</v>
      </c>
      <c r="E4" s="148">
        <v>11</v>
      </c>
      <c r="F4" s="148">
        <v>16.5</v>
      </c>
      <c r="G4" s="148">
        <v>170</v>
      </c>
    </row>
    <row r="5" spans="1:7" ht="15.75" thickBot="1">
      <c r="A5" s="149" t="s">
        <v>670</v>
      </c>
      <c r="B5" s="148">
        <v>1443</v>
      </c>
      <c r="C5" s="150">
        <f t="shared" si="0"/>
        <v>6.93000693000693E-4</v>
      </c>
      <c r="D5" s="148">
        <v>1.78</v>
      </c>
      <c r="E5" s="148">
        <v>8</v>
      </c>
      <c r="F5" s="148">
        <v>12</v>
      </c>
      <c r="G5" s="148">
        <v>153</v>
      </c>
    </row>
    <row r="6" spans="1:7" ht="15.75" thickBot="1">
      <c r="A6" s="147">
        <v>42803</v>
      </c>
      <c r="B6" s="148">
        <v>2430</v>
      </c>
      <c r="C6" s="150">
        <f t="shared" si="0"/>
        <v>4.1152263374485596E-4</v>
      </c>
      <c r="D6" s="148">
        <v>2.4500000000000002</v>
      </c>
      <c r="E6" s="148">
        <v>5</v>
      </c>
      <c r="F6" s="148">
        <v>7.5</v>
      </c>
      <c r="G6" s="148">
        <v>115.5</v>
      </c>
    </row>
    <row r="7" spans="1:7" ht="15.75" thickBot="1">
      <c r="A7" s="149" t="s">
        <v>671</v>
      </c>
      <c r="B7" s="148">
        <v>3330</v>
      </c>
      <c r="C7" s="150">
        <f t="shared" si="0"/>
        <v>3.0030030030030029E-4</v>
      </c>
      <c r="D7" s="148">
        <v>2.85</v>
      </c>
      <c r="E7" s="148">
        <v>4.5</v>
      </c>
      <c r="F7" s="148">
        <v>6.5</v>
      </c>
      <c r="G7" s="148">
        <v>69.5</v>
      </c>
    </row>
    <row r="8" spans="1:7" ht="15.75" thickBot="1">
      <c r="A8" s="147">
        <v>42951</v>
      </c>
      <c r="B8" s="148">
        <v>8090</v>
      </c>
      <c r="C8" s="150">
        <f t="shared" si="0"/>
        <v>1.2360939431396787E-4</v>
      </c>
      <c r="D8" s="148">
        <v>4.71</v>
      </c>
      <c r="E8" s="148">
        <v>2.5</v>
      </c>
      <c r="F8" s="148">
        <v>3.5</v>
      </c>
      <c r="G8" s="148">
        <v>36.5</v>
      </c>
    </row>
    <row r="9" spans="1:7" ht="15.75" thickBot="1">
      <c r="A9" s="149" t="s">
        <v>672</v>
      </c>
      <c r="B9" s="148">
        <v>10300</v>
      </c>
      <c r="C9" s="150">
        <f t="shared" si="0"/>
        <v>9.7087378640776706E-5</v>
      </c>
      <c r="D9" s="148">
        <v>5.41</v>
      </c>
      <c r="E9" s="148">
        <v>2.5</v>
      </c>
      <c r="F9" s="148">
        <v>3.5</v>
      </c>
      <c r="G9" s="148">
        <v>31</v>
      </c>
    </row>
    <row r="10" spans="1:7" ht="15.75" thickBot="1">
      <c r="A10" s="149" t="s">
        <v>673</v>
      </c>
      <c r="B10" s="148">
        <v>12200</v>
      </c>
      <c r="C10" s="150">
        <f t="shared" si="0"/>
        <v>8.1967213114754098E-5</v>
      </c>
      <c r="D10" s="148">
        <v>6.04</v>
      </c>
      <c r="E10" s="148">
        <v>2</v>
      </c>
      <c r="F10" s="148">
        <v>3</v>
      </c>
      <c r="G10" s="148">
        <v>28</v>
      </c>
    </row>
    <row r="11" spans="1:7" ht="15.75" thickBot="1">
      <c r="A11" s="149" t="s">
        <v>674</v>
      </c>
      <c r="B11" s="148">
        <v>13920</v>
      </c>
      <c r="C11" s="150">
        <f t="shared" si="0"/>
        <v>7.1839080459770114E-5</v>
      </c>
      <c r="D11" s="148">
        <v>6.66</v>
      </c>
      <c r="E11" s="148">
        <v>2</v>
      </c>
      <c r="F11" s="148">
        <v>2.5</v>
      </c>
      <c r="G11" s="148">
        <v>26</v>
      </c>
    </row>
    <row r="12" spans="1:7" ht="15.75" thickBot="1">
      <c r="A12" s="149" t="s">
        <v>675</v>
      </c>
      <c r="B12" s="148">
        <v>25083</v>
      </c>
      <c r="C12" s="150">
        <f t="shared" si="0"/>
        <v>3.9867639437068931E-5</v>
      </c>
      <c r="D12" s="148">
        <v>15.58</v>
      </c>
      <c r="E12" s="148">
        <v>2</v>
      </c>
      <c r="F12" s="148">
        <v>2.5</v>
      </c>
      <c r="G12" s="148">
        <v>17.5</v>
      </c>
    </row>
  </sheetData>
  <sheetProtection sheet="1" objects="1" scenarios="1"/>
  <pageMargins left="0.7" right="0.7" top="0.75" bottom="0.75" header="0.3" footer="0.3"/>
  <pageSetup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2B82A-3FF4-477F-9E53-7A0F6A9E007B}">
  <sheetPr>
    <tabColor rgb="FFCCCCFF"/>
  </sheetPr>
  <dimension ref="A3:H1048572"/>
  <sheetViews>
    <sheetView zoomScaleNormal="100" zoomScaleSheetLayoutView="115" workbookViewId="0">
      <selection activeCell="A12" sqref="A12:G12"/>
    </sheetView>
  </sheetViews>
  <sheetFormatPr defaultColWidth="9.140625" defaultRowHeight="15"/>
  <cols>
    <col min="1" max="1" width="27.28515625" style="22" customWidth="1"/>
    <col min="2" max="2" width="16.42578125" style="22" bestFit="1" customWidth="1"/>
    <col min="3" max="3" width="23.85546875" style="22" customWidth="1"/>
    <col min="4" max="7" width="18.28515625" style="22" customWidth="1"/>
    <col min="8" max="8" width="25" style="22" customWidth="1"/>
    <col min="9" max="16384" width="9.140625" style="22"/>
  </cols>
  <sheetData>
    <row r="3" spans="1:8" ht="66">
      <c r="A3" s="151" t="s">
        <v>676</v>
      </c>
      <c r="B3" s="76" t="s">
        <v>677</v>
      </c>
      <c r="C3" s="76" t="s">
        <v>678</v>
      </c>
      <c r="D3" s="76" t="s">
        <v>679</v>
      </c>
      <c r="E3" s="76" t="s">
        <v>680</v>
      </c>
      <c r="F3" s="76" t="s">
        <v>681</v>
      </c>
      <c r="G3" s="76" t="s">
        <v>682</v>
      </c>
    </row>
    <row r="4" spans="1:8" ht="31.5">
      <c r="A4" s="89" t="s">
        <v>683</v>
      </c>
      <c r="B4" s="152">
        <v>43923.395833333336</v>
      </c>
      <c r="C4" s="152" t="s">
        <v>684</v>
      </c>
      <c r="D4" s="153" t="s">
        <v>62</v>
      </c>
      <c r="E4" s="154">
        <f>B4</f>
        <v>43923.395833333336</v>
      </c>
      <c r="F4" s="155">
        <v>3410</v>
      </c>
      <c r="G4" s="153" t="s">
        <v>62</v>
      </c>
    </row>
    <row r="5" spans="1:8" ht="31.5">
      <c r="A5" s="89" t="s">
        <v>685</v>
      </c>
      <c r="B5" s="152">
        <v>43924.625</v>
      </c>
      <c r="C5" s="152" t="s">
        <v>684</v>
      </c>
      <c r="D5" s="156">
        <v>6</v>
      </c>
      <c r="E5" s="154">
        <f>B5-(D5/24)</f>
        <v>43924.375</v>
      </c>
      <c r="F5" s="155">
        <v>2550</v>
      </c>
      <c r="G5" s="153" t="s">
        <v>62</v>
      </c>
    </row>
    <row r="6" spans="1:8" ht="31.5">
      <c r="A6" s="89" t="s">
        <v>686</v>
      </c>
      <c r="B6" s="152">
        <v>43923.65625</v>
      </c>
      <c r="C6" s="152" t="s">
        <v>684</v>
      </c>
      <c r="D6" s="157">
        <v>5</v>
      </c>
      <c r="E6" s="154">
        <f>B6-(D6/24)</f>
        <v>43923.447916666664</v>
      </c>
      <c r="F6" s="153" t="s">
        <v>62</v>
      </c>
      <c r="G6" s="155">
        <v>4740</v>
      </c>
      <c r="H6" s="158"/>
    </row>
    <row r="7" spans="1:8" ht="31.5">
      <c r="A7" s="89" t="s">
        <v>687</v>
      </c>
      <c r="B7" s="152">
        <v>43923.614583333336</v>
      </c>
      <c r="C7" s="152" t="s">
        <v>684</v>
      </c>
      <c r="D7" s="156">
        <v>3</v>
      </c>
      <c r="E7" s="154">
        <f>B7-(D7/24)</f>
        <v>43923.489583333336</v>
      </c>
      <c r="F7" s="153" t="s">
        <v>62</v>
      </c>
      <c r="G7" s="155">
        <v>4690</v>
      </c>
      <c r="H7" s="158"/>
    </row>
    <row r="8" spans="1:8" ht="31.5">
      <c r="A8" s="89" t="s">
        <v>688</v>
      </c>
      <c r="B8" s="152">
        <v>43927.427083333336</v>
      </c>
      <c r="C8" s="152" t="s">
        <v>689</v>
      </c>
      <c r="D8" s="159" t="s">
        <v>62</v>
      </c>
      <c r="E8" s="154">
        <f>B8</f>
        <v>43927.427083333336</v>
      </c>
      <c r="F8" s="153" t="s">
        <v>62</v>
      </c>
      <c r="G8" s="155">
        <v>2890</v>
      </c>
      <c r="H8" s="158"/>
    </row>
    <row r="9" spans="1:8">
      <c r="D9" s="75"/>
      <c r="E9" s="75"/>
      <c r="F9" s="75"/>
      <c r="G9" s="75"/>
    </row>
    <row r="10" spans="1:8" ht="15.75">
      <c r="A10" s="160" t="s">
        <v>109</v>
      </c>
      <c r="B10" s="161"/>
      <c r="C10" s="161"/>
      <c r="D10" s="161"/>
      <c r="E10" s="52"/>
      <c r="F10" s="52"/>
    </row>
    <row r="11" spans="1:8" ht="15.6" customHeight="1">
      <c r="A11" s="386" t="s">
        <v>690</v>
      </c>
      <c r="B11" s="386"/>
      <c r="C11" s="386"/>
      <c r="D11" s="386"/>
      <c r="E11" s="386"/>
      <c r="F11" s="386"/>
      <c r="G11" s="386"/>
    </row>
    <row r="12" spans="1:8" ht="48" customHeight="1">
      <c r="A12" s="387" t="s">
        <v>691</v>
      </c>
      <c r="B12" s="387"/>
      <c r="C12" s="387"/>
      <c r="D12" s="387"/>
      <c r="E12" s="387"/>
      <c r="F12" s="387"/>
      <c r="G12" s="387"/>
    </row>
    <row r="13" spans="1:8" ht="15.75">
      <c r="A13" s="387" t="s">
        <v>692</v>
      </c>
      <c r="B13" s="387"/>
      <c r="C13" s="387"/>
      <c r="D13" s="387"/>
      <c r="E13" s="387"/>
    </row>
    <row r="14" spans="1:8" ht="15.75">
      <c r="A14" s="387" t="s">
        <v>693</v>
      </c>
      <c r="B14" s="387"/>
      <c r="C14" s="387"/>
      <c r="D14" s="387"/>
      <c r="E14" s="387"/>
    </row>
    <row r="15" spans="1:8" ht="15.75">
      <c r="A15" s="162" t="s">
        <v>694</v>
      </c>
      <c r="B15" s="161"/>
      <c r="C15" s="161"/>
      <c r="D15" s="161"/>
      <c r="E15" s="52"/>
      <c r="F15" s="52"/>
    </row>
    <row r="16" spans="1:8" ht="18.75">
      <c r="A16" s="52" t="s">
        <v>695</v>
      </c>
      <c r="B16" s="163"/>
      <c r="C16" s="163"/>
      <c r="D16" s="163"/>
      <c r="E16" s="164"/>
      <c r="F16" s="52"/>
    </row>
    <row r="17" spans="1:6" ht="15.75">
      <c r="A17" s="54" t="s">
        <v>696</v>
      </c>
      <c r="B17" s="161"/>
      <c r="C17" s="161"/>
      <c r="D17" s="161"/>
      <c r="E17" s="52"/>
      <c r="F17" s="52"/>
    </row>
    <row r="18" spans="1:6" ht="15.75">
      <c r="A18" s="52" t="s">
        <v>697</v>
      </c>
    </row>
    <row r="1048572" spans="3:3" ht="15.75">
      <c r="C1048572" s="165" t="s">
        <v>684</v>
      </c>
    </row>
  </sheetData>
  <sheetProtection sheet="1" objects="1" scenarios="1"/>
  <protectedRanges>
    <protectedRange algorithmName="SHA-512" hashValue="GhxKQe+0tti4ziT+sFdAVNSdDVzVKyw4J8vtwP+RKek41JlpTd0XEccYUgEPIgULz1XRxrp3iPlUgSUIWA5CrA==" saltValue="3I48IwnqTHUz0XZjhIM2Zg==" spinCount="100000" sqref="A4" name="Locked"/>
  </protectedRanges>
  <mergeCells count="4">
    <mergeCell ref="A11:G11"/>
    <mergeCell ref="A12:G12"/>
    <mergeCell ref="A13:E13"/>
    <mergeCell ref="A14:E14"/>
  </mergeCells>
  <pageMargins left="0.7" right="0.7" top="0.75" bottom="0.75" header="0.3" footer="0.3"/>
  <pageSetup scale="85" orientation="landscape" r:id="rId1"/>
  <headerFooter>
    <oddHeader>&amp;L&amp;"Times New Roman,Regular"DRAFT - Privileged and Confidential
Attorney Work Product
&amp;C&amp;"Times New Roman,Bold"&amp;12TABLE E11
RIVER FLOW RATES
Chemours Fayetteville Works, North Carolina&amp;R&amp;"Times New Roman,Regular"Geosyntec Consultants of NC P.C.</oddHeader>
    <oddFooter>&amp;L&amp;"Times New Roman,Regular"TR0795&amp;C&amp;"Times New Roman,Regular"Page &amp;P of &amp;N&amp;R&amp;"Times New Roman,Regular"July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066C-912E-48F0-890B-A85D98383A2E}">
  <sheetPr>
    <tabColor theme="9"/>
  </sheetPr>
  <dimension ref="A1:I45"/>
  <sheetViews>
    <sheetView view="pageBreakPreview" topLeftCell="E1" zoomScaleNormal="100" zoomScaleSheetLayoutView="100" workbookViewId="0">
      <selection activeCell="G16" sqref="G16"/>
    </sheetView>
  </sheetViews>
  <sheetFormatPr defaultColWidth="8.7109375" defaultRowHeight="12.75"/>
  <cols>
    <col min="1" max="3" width="15.5703125" style="28" customWidth="1"/>
    <col min="4" max="4" width="13.5703125" style="28" customWidth="1"/>
    <col min="5" max="5" width="15.5703125" style="46" customWidth="1"/>
    <col min="6" max="8" width="15.5703125" style="28" customWidth="1"/>
    <col min="9" max="9" width="84.5703125" style="28" hidden="1" customWidth="1"/>
    <col min="10" max="16384" width="8.7109375" style="28"/>
  </cols>
  <sheetData>
    <row r="1" spans="1:9" ht="54">
      <c r="A1" s="389" t="s">
        <v>116</v>
      </c>
      <c r="B1" s="390" t="s">
        <v>117</v>
      </c>
      <c r="C1" s="391" t="s">
        <v>118</v>
      </c>
      <c r="D1" s="391" t="s">
        <v>119</v>
      </c>
      <c r="E1" s="391" t="s">
        <v>119</v>
      </c>
      <c r="F1" s="391" t="s">
        <v>120</v>
      </c>
      <c r="G1" s="392" t="s">
        <v>121</v>
      </c>
      <c r="H1" s="391" t="s">
        <v>122</v>
      </c>
      <c r="I1" s="364" t="s">
        <v>123</v>
      </c>
    </row>
    <row r="2" spans="1:9" ht="16.5" thickBot="1">
      <c r="A2" s="389"/>
      <c r="B2" s="393"/>
      <c r="C2" s="391" t="s">
        <v>124</v>
      </c>
      <c r="D2" s="391" t="s">
        <v>125</v>
      </c>
      <c r="E2" s="391" t="s">
        <v>124</v>
      </c>
      <c r="F2" s="391" t="s">
        <v>126</v>
      </c>
      <c r="G2" s="392" t="s">
        <v>127</v>
      </c>
      <c r="H2" s="391" t="s">
        <v>128</v>
      </c>
      <c r="I2" s="365"/>
    </row>
    <row r="3" spans="1:9" ht="15.75" thickBot="1">
      <c r="A3" s="358">
        <v>1</v>
      </c>
      <c r="B3" s="134" t="s">
        <v>129</v>
      </c>
      <c r="C3" s="132">
        <v>0</v>
      </c>
      <c r="D3" s="132">
        <v>0</v>
      </c>
      <c r="E3" s="394">
        <f>D3/12</f>
        <v>0</v>
      </c>
      <c r="F3" s="210" t="s">
        <v>130</v>
      </c>
      <c r="G3" s="132">
        <v>0</v>
      </c>
      <c r="H3" s="210" t="s">
        <v>130</v>
      </c>
      <c r="I3" s="45"/>
    </row>
    <row r="4" spans="1:9" ht="15.75" thickBot="1">
      <c r="A4" s="132">
        <v>2</v>
      </c>
      <c r="B4" s="133" t="s">
        <v>131</v>
      </c>
      <c r="C4" s="132">
        <v>5</v>
      </c>
      <c r="D4" s="132">
        <v>37</v>
      </c>
      <c r="E4" s="394">
        <f t="shared" ref="E4:E19" si="0">D4/12</f>
        <v>3.0833333333333335</v>
      </c>
      <c r="F4" s="395">
        <f>C4*E4/2</f>
        <v>7.7083333333333339</v>
      </c>
      <c r="G4" s="132">
        <v>0.04</v>
      </c>
      <c r="H4" s="395">
        <f>G5*F4</f>
        <v>0.84791666666666676</v>
      </c>
      <c r="I4" s="26" t="s">
        <v>132</v>
      </c>
    </row>
    <row r="5" spans="1:9" ht="15.75" thickBot="1">
      <c r="A5" s="132">
        <v>3</v>
      </c>
      <c r="B5" s="133" t="s">
        <v>133</v>
      </c>
      <c r="C5" s="132">
        <v>5</v>
      </c>
      <c r="D5" s="132">
        <v>18.5</v>
      </c>
      <c r="E5" s="394">
        <f t="shared" si="0"/>
        <v>1.5416666666666667</v>
      </c>
      <c r="F5" s="210" t="s">
        <v>130</v>
      </c>
      <c r="G5" s="132">
        <v>0.11</v>
      </c>
      <c r="H5" s="210" t="s">
        <v>130</v>
      </c>
      <c r="I5" s="45"/>
    </row>
    <row r="6" spans="1:9" ht="15.75" thickBot="1">
      <c r="A6" s="132">
        <v>4</v>
      </c>
      <c r="B6" s="133" t="s">
        <v>134</v>
      </c>
      <c r="C6" s="132">
        <v>5</v>
      </c>
      <c r="D6" s="132">
        <v>0</v>
      </c>
      <c r="E6" s="394">
        <f t="shared" si="0"/>
        <v>0</v>
      </c>
      <c r="F6" s="210" t="s">
        <v>130</v>
      </c>
      <c r="G6" s="132">
        <v>0.16</v>
      </c>
      <c r="H6" s="210" t="s">
        <v>130</v>
      </c>
      <c r="I6" s="45"/>
    </row>
    <row r="7" spans="1:9" ht="15.75" thickBot="1">
      <c r="A7" s="132">
        <v>5</v>
      </c>
      <c r="B7" s="133" t="s">
        <v>131</v>
      </c>
      <c r="C7" s="132">
        <v>10</v>
      </c>
      <c r="D7" s="132">
        <v>28</v>
      </c>
      <c r="E7" s="394">
        <f t="shared" si="0"/>
        <v>2.3333333333333335</v>
      </c>
      <c r="F7" s="395">
        <f>((C7-C6)*((E7+E4)/2))</f>
        <v>13.541666666666668</v>
      </c>
      <c r="G7" s="132">
        <v>0.02</v>
      </c>
      <c r="H7" s="395">
        <f>G8*F7</f>
        <v>3.385416666666667</v>
      </c>
      <c r="I7" s="45"/>
    </row>
    <row r="8" spans="1:9" ht="15.75" thickBot="1">
      <c r="A8" s="132">
        <v>6</v>
      </c>
      <c r="B8" s="133" t="s">
        <v>133</v>
      </c>
      <c r="C8" s="132">
        <v>10</v>
      </c>
      <c r="D8" s="132">
        <v>14</v>
      </c>
      <c r="E8" s="394">
        <f t="shared" si="0"/>
        <v>1.1666666666666667</v>
      </c>
      <c r="F8" s="395" t="s">
        <v>130</v>
      </c>
      <c r="G8" s="132">
        <v>0.25</v>
      </c>
      <c r="H8" s="210" t="s">
        <v>130</v>
      </c>
      <c r="I8" s="45"/>
    </row>
    <row r="9" spans="1:9" ht="15.75" thickBot="1">
      <c r="A9" s="132">
        <v>7</v>
      </c>
      <c r="B9" s="133" t="s">
        <v>134</v>
      </c>
      <c r="C9" s="132">
        <v>10</v>
      </c>
      <c r="D9" s="132">
        <v>0</v>
      </c>
      <c r="E9" s="394">
        <f t="shared" si="0"/>
        <v>0</v>
      </c>
      <c r="F9" s="395" t="s">
        <v>130</v>
      </c>
      <c r="G9" s="132">
        <v>0.27</v>
      </c>
      <c r="H9" s="210" t="s">
        <v>130</v>
      </c>
      <c r="I9" s="45"/>
    </row>
    <row r="10" spans="1:9" ht="15.75" thickBot="1">
      <c r="A10" s="132">
        <v>8</v>
      </c>
      <c r="B10" s="133" t="s">
        <v>131</v>
      </c>
      <c r="C10" s="132">
        <v>15</v>
      </c>
      <c r="D10" s="132">
        <v>22</v>
      </c>
      <c r="E10" s="394">
        <f t="shared" si="0"/>
        <v>1.8333333333333333</v>
      </c>
      <c r="F10" s="395">
        <f>((C10-C9)*((E10+E7)/2))</f>
        <v>10.416666666666668</v>
      </c>
      <c r="G10" s="132">
        <v>0.02</v>
      </c>
      <c r="H10" s="395">
        <f>G11*F10</f>
        <v>2.8125000000000004</v>
      </c>
      <c r="I10" s="45"/>
    </row>
    <row r="11" spans="1:9" ht="15.75" thickBot="1">
      <c r="A11" s="132">
        <v>9</v>
      </c>
      <c r="B11" s="133" t="s">
        <v>133</v>
      </c>
      <c r="C11" s="132">
        <v>15</v>
      </c>
      <c r="D11" s="132">
        <v>11</v>
      </c>
      <c r="E11" s="394">
        <f t="shared" si="0"/>
        <v>0.91666666666666663</v>
      </c>
      <c r="F11" s="395" t="s">
        <v>130</v>
      </c>
      <c r="G11" s="132">
        <v>0.27</v>
      </c>
      <c r="H11" s="210" t="s">
        <v>130</v>
      </c>
      <c r="I11" s="45"/>
    </row>
    <row r="12" spans="1:9" ht="15.75" thickBot="1">
      <c r="A12" s="132">
        <v>10</v>
      </c>
      <c r="B12" s="133" t="s">
        <v>134</v>
      </c>
      <c r="C12" s="132">
        <v>15</v>
      </c>
      <c r="D12" s="132">
        <v>0</v>
      </c>
      <c r="E12" s="394">
        <f t="shared" si="0"/>
        <v>0</v>
      </c>
      <c r="F12" s="395" t="s">
        <v>130</v>
      </c>
      <c r="G12" s="132">
        <v>0.32</v>
      </c>
      <c r="H12" s="210" t="s">
        <v>130</v>
      </c>
      <c r="I12" s="45"/>
    </row>
    <row r="13" spans="1:9" ht="15.75" thickBot="1">
      <c r="A13" s="132">
        <v>11</v>
      </c>
      <c r="B13" s="133" t="s">
        <v>131</v>
      </c>
      <c r="C13" s="132">
        <v>20</v>
      </c>
      <c r="D13" s="132">
        <v>19</v>
      </c>
      <c r="E13" s="394">
        <f t="shared" si="0"/>
        <v>1.5833333333333333</v>
      </c>
      <c r="F13" s="395">
        <f>((C13-C12)*((E13+E10)/2))</f>
        <v>8.5416666666666661</v>
      </c>
      <c r="G13" s="132">
        <v>0.03</v>
      </c>
      <c r="H13" s="395">
        <f>G14*F13</f>
        <v>2.3916666666666666</v>
      </c>
      <c r="I13" s="45"/>
    </row>
    <row r="14" spans="1:9" ht="15.75" thickBot="1">
      <c r="A14" s="132">
        <v>12</v>
      </c>
      <c r="B14" s="133" t="s">
        <v>133</v>
      </c>
      <c r="C14" s="132">
        <v>20</v>
      </c>
      <c r="D14" s="132">
        <v>8.5</v>
      </c>
      <c r="E14" s="394">
        <f t="shared" si="0"/>
        <v>0.70833333333333337</v>
      </c>
      <c r="F14" s="395" t="s">
        <v>130</v>
      </c>
      <c r="G14" s="132">
        <v>0.28000000000000003</v>
      </c>
      <c r="H14" s="210" t="s">
        <v>130</v>
      </c>
      <c r="I14" s="45"/>
    </row>
    <row r="15" spans="1:9" ht="15.75" thickBot="1">
      <c r="A15" s="132">
        <v>13</v>
      </c>
      <c r="B15" s="133" t="s">
        <v>134</v>
      </c>
      <c r="C15" s="132">
        <v>20</v>
      </c>
      <c r="D15" s="132">
        <v>0</v>
      </c>
      <c r="E15" s="394">
        <f t="shared" si="0"/>
        <v>0</v>
      </c>
      <c r="F15" s="395" t="s">
        <v>130</v>
      </c>
      <c r="G15" s="132">
        <v>0.3</v>
      </c>
      <c r="H15" s="210" t="s">
        <v>130</v>
      </c>
      <c r="I15" s="45"/>
    </row>
    <row r="16" spans="1:9" ht="15.75" thickBot="1">
      <c r="A16" s="132">
        <v>14</v>
      </c>
      <c r="B16" s="133" t="s">
        <v>131</v>
      </c>
      <c r="C16" s="132">
        <v>25</v>
      </c>
      <c r="D16" s="132">
        <v>16.5</v>
      </c>
      <c r="E16" s="394">
        <f t="shared" si="0"/>
        <v>1.375</v>
      </c>
      <c r="F16" s="395">
        <f>((C16-C15)*((E16+E13)/2))</f>
        <v>7.3958333333333321</v>
      </c>
      <c r="G16" s="132">
        <v>0.02</v>
      </c>
      <c r="H16" s="395">
        <f>G17*F16</f>
        <v>1.1093749999999998</v>
      </c>
      <c r="I16" s="45"/>
    </row>
    <row r="17" spans="1:9" ht="15.75" thickBot="1">
      <c r="A17" s="132">
        <v>15</v>
      </c>
      <c r="B17" s="133" t="s">
        <v>133</v>
      </c>
      <c r="C17" s="132">
        <v>25</v>
      </c>
      <c r="D17" s="132">
        <v>8.25</v>
      </c>
      <c r="E17" s="394">
        <f t="shared" si="0"/>
        <v>0.6875</v>
      </c>
      <c r="F17" s="395" t="s">
        <v>130</v>
      </c>
      <c r="G17" s="132">
        <v>0.15</v>
      </c>
      <c r="H17" s="210" t="s">
        <v>130</v>
      </c>
      <c r="I17" s="45"/>
    </row>
    <row r="18" spans="1:9" ht="15.75" thickBot="1">
      <c r="A18" s="132">
        <v>16</v>
      </c>
      <c r="B18" s="133" t="s">
        <v>134</v>
      </c>
      <c r="C18" s="132">
        <v>25</v>
      </c>
      <c r="D18" s="132">
        <v>0</v>
      </c>
      <c r="E18" s="394">
        <f t="shared" si="0"/>
        <v>0</v>
      </c>
      <c r="F18" s="395" t="s">
        <v>130</v>
      </c>
      <c r="G18" s="132">
        <v>0.22</v>
      </c>
      <c r="H18" s="210" t="s">
        <v>130</v>
      </c>
      <c r="I18" s="45"/>
    </row>
    <row r="19" spans="1:9" ht="15.75" thickBot="1">
      <c r="A19" s="358">
        <v>17</v>
      </c>
      <c r="B19" s="134" t="s">
        <v>135</v>
      </c>
      <c r="C19" s="132">
        <v>30</v>
      </c>
      <c r="D19" s="132">
        <v>0</v>
      </c>
      <c r="E19" s="394">
        <f t="shared" si="0"/>
        <v>0</v>
      </c>
      <c r="F19" s="395">
        <f>((C19-C18)*((E19+E16)/2))</f>
        <v>3.4375</v>
      </c>
      <c r="G19" s="132">
        <v>0</v>
      </c>
      <c r="H19" s="395" t="s">
        <v>130</v>
      </c>
      <c r="I19" s="45"/>
    </row>
    <row r="20" spans="1:9">
      <c r="F20" s="366" t="s">
        <v>136</v>
      </c>
      <c r="G20" s="367"/>
      <c r="H20" s="47"/>
    </row>
    <row r="21" spans="1:9">
      <c r="A21" s="30" t="s">
        <v>137</v>
      </c>
      <c r="B21" s="30"/>
      <c r="C21" s="38"/>
      <c r="D21" s="38"/>
      <c r="F21" s="366" t="s">
        <v>128</v>
      </c>
      <c r="G21" s="367"/>
      <c r="H21" s="29">
        <f>SUM(H3:H19)</f>
        <v>10.546875</v>
      </c>
    </row>
    <row r="22" spans="1:9" ht="13.5" thickBot="1">
      <c r="A22" s="31" t="s">
        <v>138</v>
      </c>
      <c r="B22" s="31"/>
      <c r="C22" s="31"/>
      <c r="D22" s="31"/>
      <c r="F22" s="368" t="s">
        <v>139</v>
      </c>
      <c r="G22" s="369"/>
      <c r="H22" s="48">
        <f>CONVERT(CONVERT(H21,"ft^3","gal"),"min","sec")</f>
        <v>4733.7662337662341</v>
      </c>
    </row>
    <row r="23" spans="1:9" ht="13.5" thickBot="1">
      <c r="A23" s="31" t="s">
        <v>140</v>
      </c>
      <c r="B23" s="31"/>
      <c r="C23" s="31"/>
      <c r="D23" s="31"/>
      <c r="F23" s="368" t="s">
        <v>141</v>
      </c>
      <c r="G23" s="369"/>
      <c r="H23" s="34">
        <f>CONVERT(H22,"gal","l")/60</f>
        <v>298.65424139999999</v>
      </c>
    </row>
    <row r="24" spans="1:9">
      <c r="A24" s="31" t="s">
        <v>142</v>
      </c>
      <c r="B24" s="31"/>
      <c r="C24" s="33"/>
      <c r="D24" s="33"/>
    </row>
    <row r="25" spans="1:9" ht="3.6" customHeight="1">
      <c r="A25" s="38"/>
      <c r="B25" s="38"/>
      <c r="C25" s="38"/>
      <c r="D25" s="38"/>
    </row>
    <row r="26" spans="1:9" s="25" customFormat="1" ht="14.1" customHeight="1">
      <c r="A26" s="39" t="s">
        <v>143</v>
      </c>
      <c r="B26" s="39"/>
      <c r="C26" s="38"/>
      <c r="D26" s="38"/>
      <c r="E26" s="28"/>
      <c r="F26" s="36"/>
      <c r="G26" s="28"/>
    </row>
    <row r="27" spans="1:9" s="25" customFormat="1" ht="14.1" customHeight="1">
      <c r="A27" s="40" t="s">
        <v>144</v>
      </c>
      <c r="B27" s="40"/>
      <c r="C27" s="38"/>
      <c r="D27" s="38"/>
      <c r="E27" s="28"/>
      <c r="F27" s="36"/>
      <c r="G27" s="28"/>
    </row>
    <row r="28" spans="1:9" s="25" customFormat="1" ht="14.1" customHeight="1">
      <c r="A28" s="41" t="s">
        <v>145</v>
      </c>
      <c r="B28" s="41"/>
      <c r="C28" s="38"/>
      <c r="D28" s="38"/>
      <c r="E28" s="28"/>
      <c r="F28" s="36"/>
      <c r="G28" s="28"/>
    </row>
    <row r="29" spans="1:9" s="25" customFormat="1" ht="14.1" customHeight="1">
      <c r="A29" s="41" t="s">
        <v>146</v>
      </c>
      <c r="B29" s="41"/>
      <c r="C29" s="38"/>
      <c r="D29" s="38"/>
      <c r="E29" s="28"/>
      <c r="F29" s="36"/>
      <c r="G29" s="28"/>
    </row>
    <row r="30" spans="1:9" s="25" customFormat="1" ht="14.1" customHeight="1">
      <c r="A30" s="41" t="s">
        <v>147</v>
      </c>
      <c r="B30" s="41"/>
      <c r="C30" s="38"/>
      <c r="D30" s="38"/>
      <c r="E30" s="28"/>
      <c r="F30" s="36"/>
      <c r="G30" s="28"/>
    </row>
    <row r="31" spans="1:9" s="25" customFormat="1" ht="14.1" customHeight="1">
      <c r="A31" s="41" t="s">
        <v>148</v>
      </c>
      <c r="B31" s="41"/>
      <c r="C31" s="38"/>
      <c r="D31" s="38"/>
      <c r="E31" s="28"/>
      <c r="F31" s="36"/>
      <c r="G31" s="28"/>
    </row>
    <row r="32" spans="1:9" s="25" customFormat="1" ht="6.6" customHeight="1">
      <c r="A32" s="41"/>
      <c r="B32" s="41"/>
      <c r="C32" s="38"/>
      <c r="D32" s="38"/>
      <c r="E32" s="28"/>
      <c r="F32" s="36"/>
      <c r="G32" s="28"/>
    </row>
    <row r="33" spans="1:8">
      <c r="A33" s="30" t="s">
        <v>149</v>
      </c>
      <c r="B33" s="30"/>
      <c r="C33" s="38"/>
      <c r="D33" s="38"/>
    </row>
    <row r="34" spans="1:8" s="25" customFormat="1" ht="24.6" customHeight="1">
      <c r="A34" s="362" t="s">
        <v>150</v>
      </c>
      <c r="B34" s="362"/>
      <c r="C34" s="362"/>
      <c r="D34" s="362"/>
      <c r="E34" s="362"/>
      <c r="F34" s="362"/>
      <c r="G34" s="362"/>
      <c r="H34" s="362"/>
    </row>
    <row r="35" spans="1:8" s="25" customFormat="1" ht="14.1" customHeight="1">
      <c r="A35" s="363" t="s">
        <v>151</v>
      </c>
      <c r="B35" s="363"/>
      <c r="C35" s="363"/>
      <c r="D35" s="363"/>
      <c r="E35" s="363"/>
      <c r="F35" s="363"/>
      <c r="G35" s="363"/>
      <c r="H35" s="363"/>
    </row>
    <row r="36" spans="1:8" s="25" customFormat="1">
      <c r="A36" s="363"/>
      <c r="B36" s="363"/>
      <c r="C36" s="363"/>
      <c r="D36" s="363"/>
      <c r="E36" s="363"/>
      <c r="F36" s="363"/>
      <c r="G36" s="363"/>
      <c r="H36" s="363"/>
    </row>
    <row r="37" spans="1:8" ht="13.5" hidden="1">
      <c r="A37" s="37" t="s">
        <v>152</v>
      </c>
      <c r="B37" s="37"/>
      <c r="C37" s="38"/>
      <c r="D37" s="38"/>
    </row>
    <row r="38" spans="1:8">
      <c r="A38" s="44"/>
      <c r="B38" s="44"/>
    </row>
    <row r="39" spans="1:8">
      <c r="A39" s="44"/>
      <c r="B39" s="44"/>
    </row>
    <row r="42" spans="1:8">
      <c r="A42" s="44" t="s">
        <v>153</v>
      </c>
      <c r="B42" s="44"/>
    </row>
    <row r="43" spans="1:8">
      <c r="A43" s="44" t="s">
        <v>154</v>
      </c>
      <c r="B43" s="44"/>
    </row>
    <row r="44" spans="1:8">
      <c r="A44" s="28" t="s">
        <v>155</v>
      </c>
    </row>
    <row r="45" spans="1:8">
      <c r="A45" s="28" t="s">
        <v>156</v>
      </c>
    </row>
  </sheetData>
  <sheetProtection sheet="1" objects="1" scenarios="1"/>
  <mergeCells count="9">
    <mergeCell ref="A34:H34"/>
    <mergeCell ref="A35:H36"/>
    <mergeCell ref="A1:A2"/>
    <mergeCell ref="B1:B2"/>
    <mergeCell ref="I1:I2"/>
    <mergeCell ref="F20:G20"/>
    <mergeCell ref="F21:G21"/>
    <mergeCell ref="F22:G22"/>
    <mergeCell ref="F23:G23"/>
  </mergeCells>
  <printOptions horizontalCentered="1"/>
  <pageMargins left="0.7" right="0.7" top="1" bottom="0.59499999999999997" header="0.3" footer="0.3"/>
  <pageSetup scale="84" orientation="landscape" verticalDpi="300" r:id="rId1"/>
  <headerFooter>
    <oddHeader>&amp;C&amp;"Times New Roman,Bold"&amp;KFF0000DRAFT &amp;K01+000TABLE C-5
VOLUMETRIC DISCHARGE CALCULATIONS AT GEORGIA BRANCH CREEK
Chemours Fayetteville Works, North Carolina&amp;R&amp;"Times New Roman,Regular"&amp;10Geosyntec Consultants of NC, PC</oddHeader>
    <oddFooter>&amp;L&amp;"Times New Roman,Regular"&amp;10Page &amp;P of &amp;N&amp;C&amp;"Times New Roman,Regular"&amp;10CONFIDENTIAL -- ATTORNEY CLIENT PRIVILEDGED --
ATTORNEY WORK PRODUCT&amp;R&amp;"Times New Roman,Regular"&amp;10December 2019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80B47-831C-41A9-8AC6-8F1BE89A4C46}">
  <sheetPr>
    <tabColor theme="7" tint="0.59999389629810485"/>
  </sheetPr>
  <dimension ref="A1:T40"/>
  <sheetViews>
    <sheetView zoomScale="70" zoomScaleNormal="70" workbookViewId="0">
      <selection activeCell="G18" sqref="G18"/>
    </sheetView>
  </sheetViews>
  <sheetFormatPr defaultColWidth="9.140625" defaultRowHeight="15"/>
  <cols>
    <col min="1" max="1" width="24.85546875" style="22" bestFit="1" customWidth="1"/>
    <col min="2" max="2" width="19.28515625" style="22" bestFit="1" customWidth="1"/>
    <col min="3" max="3" width="38.7109375" style="22" bestFit="1" customWidth="1"/>
    <col min="4" max="6" width="13.28515625" style="22" customWidth="1"/>
    <col min="7" max="7" width="15.7109375" style="22" customWidth="1"/>
    <col min="8" max="8" width="20.7109375" style="196" bestFit="1" customWidth="1"/>
    <col min="9" max="9" width="25.42578125" style="22" bestFit="1" customWidth="1"/>
    <col min="10" max="11" width="9.140625" style="22"/>
    <col min="12" max="12" width="27.42578125" style="22" bestFit="1" customWidth="1"/>
    <col min="13" max="13" width="22.140625" style="22" customWidth="1"/>
    <col min="14" max="14" width="38.7109375" style="22" bestFit="1" customWidth="1"/>
    <col min="15" max="15" width="12.5703125" style="22" bestFit="1" customWidth="1"/>
    <col min="16" max="16" width="17.140625" style="22" bestFit="1" customWidth="1"/>
    <col min="17" max="17" width="12.85546875" style="22" bestFit="1" customWidth="1"/>
    <col min="18" max="18" width="0" style="22" hidden="1" customWidth="1"/>
    <col min="19" max="19" width="20.7109375" style="196" bestFit="1" customWidth="1"/>
    <col min="20" max="20" width="25.42578125" style="22" bestFit="1" customWidth="1"/>
    <col min="21" max="16384" width="9.140625" style="22"/>
  </cols>
  <sheetData>
    <row r="1" spans="1:20">
      <c r="A1" s="370" t="s">
        <v>157</v>
      </c>
      <c r="B1" s="370"/>
      <c r="C1" s="370"/>
      <c r="D1" s="370"/>
      <c r="E1" s="370"/>
      <c r="F1" s="370"/>
      <c r="G1" s="370"/>
      <c r="H1" s="370"/>
      <c r="I1" s="370"/>
      <c r="L1" s="371" t="s">
        <v>158</v>
      </c>
      <c r="M1" s="371"/>
      <c r="N1" s="371"/>
      <c r="O1" s="371"/>
      <c r="P1" s="371"/>
      <c r="Q1" s="371"/>
      <c r="R1" s="371"/>
      <c r="S1" s="371"/>
      <c r="T1" s="371"/>
    </row>
    <row r="2" spans="1:20">
      <c r="A2" s="396" t="s">
        <v>159</v>
      </c>
      <c r="B2" s="396" t="s">
        <v>160</v>
      </c>
      <c r="C2" s="396" t="s">
        <v>161</v>
      </c>
      <c r="D2" s="396" t="s">
        <v>162</v>
      </c>
      <c r="E2" s="396" t="s">
        <v>163</v>
      </c>
      <c r="F2" s="396" t="s">
        <v>164</v>
      </c>
      <c r="G2" s="396" t="s">
        <v>165</v>
      </c>
      <c r="H2" s="396" t="s">
        <v>166</v>
      </c>
      <c r="I2" s="396" t="s">
        <v>167</v>
      </c>
      <c r="L2" s="397" t="s">
        <v>168</v>
      </c>
      <c r="M2" s="397" t="s">
        <v>160</v>
      </c>
      <c r="N2" s="397" t="s">
        <v>161</v>
      </c>
      <c r="O2" s="397" t="s">
        <v>162</v>
      </c>
      <c r="P2" s="397" t="s">
        <v>163</v>
      </c>
      <c r="Q2" s="397" t="s">
        <v>164</v>
      </c>
      <c r="R2" s="397" t="s">
        <v>165</v>
      </c>
      <c r="S2" s="396" t="s">
        <v>166</v>
      </c>
      <c r="T2" s="397" t="s">
        <v>167</v>
      </c>
    </row>
    <row r="3" spans="1:20">
      <c r="A3" s="398" t="s">
        <v>169</v>
      </c>
      <c r="B3" s="398" t="s">
        <v>170</v>
      </c>
      <c r="C3" s="398" t="s">
        <v>171</v>
      </c>
      <c r="D3" s="398" t="s">
        <v>172</v>
      </c>
      <c r="E3" s="398" t="s">
        <v>173</v>
      </c>
      <c r="F3" s="399">
        <v>43872</v>
      </c>
      <c r="G3" s="400">
        <v>293.89999999999998</v>
      </c>
      <c r="H3" s="401">
        <v>290</v>
      </c>
      <c r="I3" s="400">
        <v>20</v>
      </c>
      <c r="L3" s="402" t="s">
        <v>169</v>
      </c>
      <c r="M3" s="402" t="s">
        <v>170</v>
      </c>
      <c r="N3" s="402" t="s">
        <v>171</v>
      </c>
      <c r="O3" s="402" t="s">
        <v>172</v>
      </c>
      <c r="P3" s="402" t="s">
        <v>173</v>
      </c>
      <c r="Q3" s="403">
        <v>43872</v>
      </c>
      <c r="R3" s="404">
        <v>293.89999999999998</v>
      </c>
      <c r="S3" s="405">
        <v>290</v>
      </c>
      <c r="T3" s="404">
        <v>17</v>
      </c>
    </row>
    <row r="4" spans="1:20">
      <c r="A4" s="398" t="s">
        <v>169</v>
      </c>
      <c r="B4" s="398" t="s">
        <v>174</v>
      </c>
      <c r="C4" s="398" t="s">
        <v>175</v>
      </c>
      <c r="D4" s="398" t="s">
        <v>172</v>
      </c>
      <c r="E4" s="398" t="s">
        <v>173</v>
      </c>
      <c r="F4" s="399">
        <v>43885</v>
      </c>
      <c r="G4" s="400">
        <v>121588.8</v>
      </c>
      <c r="H4" s="406">
        <v>120000</v>
      </c>
      <c r="I4" s="400">
        <v>20</v>
      </c>
      <c r="L4" s="402" t="s">
        <v>169</v>
      </c>
      <c r="M4" s="402" t="s">
        <v>174</v>
      </c>
      <c r="N4" s="402" t="s">
        <v>175</v>
      </c>
      <c r="O4" s="402" t="s">
        <v>172</v>
      </c>
      <c r="P4" s="402" t="s">
        <v>173</v>
      </c>
      <c r="Q4" s="403">
        <v>43885</v>
      </c>
      <c r="R4" s="404">
        <v>119118.8</v>
      </c>
      <c r="S4" s="407">
        <v>120000</v>
      </c>
      <c r="T4" s="404">
        <v>17</v>
      </c>
    </row>
    <row r="5" spans="1:20">
      <c r="A5" s="398" t="s">
        <v>169</v>
      </c>
      <c r="B5" s="398" t="s">
        <v>176</v>
      </c>
      <c r="C5" s="398" t="s">
        <v>177</v>
      </c>
      <c r="D5" s="398" t="s">
        <v>172</v>
      </c>
      <c r="E5" s="398" t="s">
        <v>173</v>
      </c>
      <c r="F5" s="399">
        <v>43885</v>
      </c>
      <c r="G5" s="400">
        <v>81662</v>
      </c>
      <c r="H5" s="406">
        <v>82000</v>
      </c>
      <c r="I5" s="400">
        <v>20</v>
      </c>
      <c r="L5" s="402" t="s">
        <v>169</v>
      </c>
      <c r="M5" s="402" t="s">
        <v>176</v>
      </c>
      <c r="N5" s="402" t="s">
        <v>177</v>
      </c>
      <c r="O5" s="402" t="s">
        <v>172</v>
      </c>
      <c r="P5" s="402" t="s">
        <v>173</v>
      </c>
      <c r="Q5" s="403">
        <v>43885</v>
      </c>
      <c r="R5" s="404">
        <v>79542</v>
      </c>
      <c r="S5" s="407">
        <v>80000</v>
      </c>
      <c r="T5" s="404">
        <v>17</v>
      </c>
    </row>
    <row r="6" spans="1:20">
      <c r="A6" s="398" t="s">
        <v>169</v>
      </c>
      <c r="B6" s="398" t="s">
        <v>178</v>
      </c>
      <c r="C6" s="398" t="s">
        <v>179</v>
      </c>
      <c r="D6" s="398" t="s">
        <v>172</v>
      </c>
      <c r="E6" s="398" t="s">
        <v>173</v>
      </c>
      <c r="F6" s="399">
        <v>43886</v>
      </c>
      <c r="G6" s="400">
        <v>225133</v>
      </c>
      <c r="H6" s="406">
        <v>230000</v>
      </c>
      <c r="I6" s="400">
        <v>20</v>
      </c>
      <c r="L6" s="402" t="s">
        <v>169</v>
      </c>
      <c r="M6" s="402" t="s">
        <v>178</v>
      </c>
      <c r="N6" s="402" t="s">
        <v>179</v>
      </c>
      <c r="O6" s="402" t="s">
        <v>172</v>
      </c>
      <c r="P6" s="402" t="s">
        <v>173</v>
      </c>
      <c r="Q6" s="403">
        <v>43886</v>
      </c>
      <c r="R6" s="404">
        <v>221223</v>
      </c>
      <c r="S6" s="407">
        <v>220000</v>
      </c>
      <c r="T6" s="404">
        <v>17</v>
      </c>
    </row>
    <row r="7" spans="1:20">
      <c r="A7" s="398" t="s">
        <v>169</v>
      </c>
      <c r="B7" s="398" t="s">
        <v>178</v>
      </c>
      <c r="C7" s="398" t="s">
        <v>180</v>
      </c>
      <c r="D7" s="398" t="s">
        <v>172</v>
      </c>
      <c r="E7" s="398" t="s">
        <v>181</v>
      </c>
      <c r="F7" s="399">
        <v>43886</v>
      </c>
      <c r="G7" s="400">
        <v>227478</v>
      </c>
      <c r="H7" s="406">
        <v>230000</v>
      </c>
      <c r="I7" s="400">
        <v>20</v>
      </c>
      <c r="L7" s="402" t="s">
        <v>169</v>
      </c>
      <c r="M7" s="402" t="s">
        <v>178</v>
      </c>
      <c r="N7" s="402" t="s">
        <v>180</v>
      </c>
      <c r="O7" s="402" t="s">
        <v>172</v>
      </c>
      <c r="P7" s="402" t="s">
        <v>181</v>
      </c>
      <c r="Q7" s="403">
        <v>43886</v>
      </c>
      <c r="R7" s="404">
        <v>223708</v>
      </c>
      <c r="S7" s="407">
        <v>220000</v>
      </c>
      <c r="T7" s="404">
        <v>17</v>
      </c>
    </row>
    <row r="8" spans="1:20">
      <c r="A8" s="398" t="s">
        <v>169</v>
      </c>
      <c r="B8" s="398" t="s">
        <v>182</v>
      </c>
      <c r="C8" s="398" t="s">
        <v>183</v>
      </c>
      <c r="D8" s="398" t="s">
        <v>172</v>
      </c>
      <c r="E8" s="398" t="s">
        <v>173</v>
      </c>
      <c r="F8" s="399">
        <v>43881</v>
      </c>
      <c r="G8" s="400">
        <v>216016</v>
      </c>
      <c r="H8" s="406">
        <v>220000</v>
      </c>
      <c r="I8" s="400">
        <v>20</v>
      </c>
      <c r="L8" s="402" t="s">
        <v>169</v>
      </c>
      <c r="M8" s="402" t="s">
        <v>182</v>
      </c>
      <c r="N8" s="402" t="s">
        <v>183</v>
      </c>
      <c r="O8" s="402" t="s">
        <v>172</v>
      </c>
      <c r="P8" s="402" t="s">
        <v>173</v>
      </c>
      <c r="Q8" s="403">
        <v>43881</v>
      </c>
      <c r="R8" s="404">
        <v>209816</v>
      </c>
      <c r="S8" s="407">
        <v>210000</v>
      </c>
      <c r="T8" s="404">
        <v>17</v>
      </c>
    </row>
    <row r="9" spans="1:20">
      <c r="A9" s="398" t="s">
        <v>169</v>
      </c>
      <c r="B9" s="398" t="s">
        <v>184</v>
      </c>
      <c r="C9" s="398" t="s">
        <v>185</v>
      </c>
      <c r="D9" s="398" t="s">
        <v>172</v>
      </c>
      <c r="E9" s="398" t="s">
        <v>173</v>
      </c>
      <c r="F9" s="399">
        <v>43880</v>
      </c>
      <c r="G9" s="400">
        <v>351700</v>
      </c>
      <c r="H9" s="406">
        <v>350000</v>
      </c>
      <c r="I9" s="400">
        <v>20</v>
      </c>
      <c r="L9" s="402" t="s">
        <v>169</v>
      </c>
      <c r="M9" s="402" t="s">
        <v>184</v>
      </c>
      <c r="N9" s="402" t="s">
        <v>185</v>
      </c>
      <c r="O9" s="402" t="s">
        <v>172</v>
      </c>
      <c r="P9" s="402" t="s">
        <v>173</v>
      </c>
      <c r="Q9" s="403">
        <v>43880</v>
      </c>
      <c r="R9" s="404">
        <v>348780</v>
      </c>
      <c r="S9" s="407">
        <v>350000</v>
      </c>
      <c r="T9" s="404">
        <v>17</v>
      </c>
    </row>
    <row r="10" spans="1:20">
      <c r="A10" s="398" t="s">
        <v>169</v>
      </c>
      <c r="B10" s="398" t="s">
        <v>186</v>
      </c>
      <c r="C10" s="398" t="s">
        <v>187</v>
      </c>
      <c r="D10" s="398" t="s">
        <v>172</v>
      </c>
      <c r="E10" s="398" t="s">
        <v>173</v>
      </c>
      <c r="F10" s="399">
        <v>43875</v>
      </c>
      <c r="G10" s="400">
        <v>46929.7</v>
      </c>
      <c r="H10" s="408">
        <v>47000</v>
      </c>
      <c r="I10" s="400">
        <v>20</v>
      </c>
      <c r="L10" s="402" t="s">
        <v>169</v>
      </c>
      <c r="M10" s="402" t="s">
        <v>186</v>
      </c>
      <c r="N10" s="402" t="s">
        <v>187</v>
      </c>
      <c r="O10" s="402" t="s">
        <v>172</v>
      </c>
      <c r="P10" s="402" t="s">
        <v>173</v>
      </c>
      <c r="Q10" s="403">
        <v>43875</v>
      </c>
      <c r="R10" s="404">
        <v>46229.7</v>
      </c>
      <c r="S10" s="407">
        <v>46000</v>
      </c>
      <c r="T10" s="404">
        <v>17</v>
      </c>
    </row>
    <row r="11" spans="1:20">
      <c r="A11" s="398" t="s">
        <v>169</v>
      </c>
      <c r="B11" s="398" t="s">
        <v>188</v>
      </c>
      <c r="C11" s="398" t="s">
        <v>189</v>
      </c>
      <c r="D11" s="398" t="s">
        <v>172</v>
      </c>
      <c r="E11" s="398" t="s">
        <v>173</v>
      </c>
      <c r="F11" s="399">
        <v>43874</v>
      </c>
      <c r="G11" s="400">
        <v>12666.6</v>
      </c>
      <c r="H11" s="408">
        <v>13000</v>
      </c>
      <c r="I11" s="400">
        <v>20</v>
      </c>
      <c r="L11" s="402" t="s">
        <v>169</v>
      </c>
      <c r="M11" s="402" t="s">
        <v>188</v>
      </c>
      <c r="N11" s="402" t="s">
        <v>189</v>
      </c>
      <c r="O11" s="402" t="s">
        <v>172</v>
      </c>
      <c r="P11" s="402" t="s">
        <v>173</v>
      </c>
      <c r="Q11" s="403">
        <v>43874</v>
      </c>
      <c r="R11" s="404">
        <v>12486.6</v>
      </c>
      <c r="S11" s="407">
        <v>12000</v>
      </c>
      <c r="T11" s="404">
        <v>17</v>
      </c>
    </row>
    <row r="12" spans="1:20">
      <c r="A12" s="398" t="s">
        <v>169</v>
      </c>
      <c r="B12" s="398" t="s">
        <v>190</v>
      </c>
      <c r="C12" s="398" t="s">
        <v>191</v>
      </c>
      <c r="D12" s="398" t="s">
        <v>172</v>
      </c>
      <c r="E12" s="398" t="s">
        <v>173</v>
      </c>
      <c r="F12" s="399">
        <v>43885</v>
      </c>
      <c r="G12" s="400">
        <v>40969.5</v>
      </c>
      <c r="H12" s="406">
        <v>41000</v>
      </c>
      <c r="I12" s="400">
        <v>20</v>
      </c>
      <c r="L12" s="402" t="s">
        <v>169</v>
      </c>
      <c r="M12" s="402" t="s">
        <v>190</v>
      </c>
      <c r="N12" s="402" t="s">
        <v>191</v>
      </c>
      <c r="O12" s="402" t="s">
        <v>172</v>
      </c>
      <c r="P12" s="402" t="s">
        <v>173</v>
      </c>
      <c r="Q12" s="403">
        <v>43885</v>
      </c>
      <c r="R12" s="404">
        <v>40099.5</v>
      </c>
      <c r="S12" s="407">
        <v>40000</v>
      </c>
      <c r="T12" s="404">
        <v>17</v>
      </c>
    </row>
    <row r="13" spans="1:20">
      <c r="A13" s="398" t="s">
        <v>169</v>
      </c>
      <c r="B13" s="398" t="s">
        <v>192</v>
      </c>
      <c r="C13" s="398" t="s">
        <v>193</v>
      </c>
      <c r="D13" s="398" t="s">
        <v>172</v>
      </c>
      <c r="E13" s="398" t="s">
        <v>173</v>
      </c>
      <c r="F13" s="399">
        <v>43880</v>
      </c>
      <c r="G13" s="400">
        <v>234361</v>
      </c>
      <c r="H13" s="406">
        <v>230000</v>
      </c>
      <c r="I13" s="400">
        <v>20</v>
      </c>
      <c r="L13" s="402" t="s">
        <v>169</v>
      </c>
      <c r="M13" s="402" t="s">
        <v>192</v>
      </c>
      <c r="N13" s="402" t="s">
        <v>193</v>
      </c>
      <c r="O13" s="402" t="s">
        <v>172</v>
      </c>
      <c r="P13" s="402" t="s">
        <v>173</v>
      </c>
      <c r="Q13" s="403">
        <v>43880</v>
      </c>
      <c r="R13" s="404">
        <v>232341</v>
      </c>
      <c r="S13" s="407">
        <v>230000</v>
      </c>
      <c r="T13" s="404">
        <v>17</v>
      </c>
    </row>
    <row r="14" spans="1:20">
      <c r="A14" s="398" t="s">
        <v>169</v>
      </c>
      <c r="B14" s="398" t="s">
        <v>194</v>
      </c>
      <c r="C14" s="398" t="s">
        <v>195</v>
      </c>
      <c r="D14" s="398" t="s">
        <v>172</v>
      </c>
      <c r="E14" s="398" t="s">
        <v>173</v>
      </c>
      <c r="F14" s="399">
        <v>43880</v>
      </c>
      <c r="G14" s="400">
        <v>135230</v>
      </c>
      <c r="H14" s="406">
        <v>140000</v>
      </c>
      <c r="I14" s="400">
        <v>20</v>
      </c>
      <c r="L14" s="402" t="s">
        <v>169</v>
      </c>
      <c r="M14" s="402" t="s">
        <v>194</v>
      </c>
      <c r="N14" s="402" t="s">
        <v>195</v>
      </c>
      <c r="O14" s="402" t="s">
        <v>172</v>
      </c>
      <c r="P14" s="402" t="s">
        <v>173</v>
      </c>
      <c r="Q14" s="403">
        <v>43880</v>
      </c>
      <c r="R14" s="404">
        <v>131810</v>
      </c>
      <c r="S14" s="407">
        <v>130000</v>
      </c>
      <c r="T14" s="404">
        <v>17</v>
      </c>
    </row>
    <row r="15" spans="1:20">
      <c r="A15" s="398" t="s">
        <v>169</v>
      </c>
      <c r="B15" s="398" t="s">
        <v>196</v>
      </c>
      <c r="C15" s="398" t="s">
        <v>197</v>
      </c>
      <c r="D15" s="398" t="s">
        <v>172</v>
      </c>
      <c r="E15" s="398" t="s">
        <v>173</v>
      </c>
      <c r="F15" s="399">
        <v>43872</v>
      </c>
      <c r="G15" s="400">
        <v>1150.5</v>
      </c>
      <c r="H15" s="406">
        <v>1200</v>
      </c>
      <c r="I15" s="400">
        <v>20</v>
      </c>
      <c r="L15" s="402" t="s">
        <v>169</v>
      </c>
      <c r="M15" s="402" t="s">
        <v>196</v>
      </c>
      <c r="N15" s="402" t="s">
        <v>197</v>
      </c>
      <c r="O15" s="402" t="s">
        <v>172</v>
      </c>
      <c r="P15" s="402" t="s">
        <v>173</v>
      </c>
      <c r="Q15" s="403">
        <v>43872</v>
      </c>
      <c r="R15" s="404">
        <v>1144.5</v>
      </c>
      <c r="S15" s="407">
        <v>1100</v>
      </c>
      <c r="T15" s="404">
        <v>17</v>
      </c>
    </row>
    <row r="16" spans="1:20">
      <c r="A16" s="398" t="s">
        <v>169</v>
      </c>
      <c r="B16" s="398" t="s">
        <v>198</v>
      </c>
      <c r="C16" s="398" t="s">
        <v>199</v>
      </c>
      <c r="D16" s="398" t="s">
        <v>172</v>
      </c>
      <c r="E16" s="398" t="s">
        <v>173</v>
      </c>
      <c r="F16" s="399">
        <v>43867</v>
      </c>
      <c r="G16" s="400">
        <v>4884.3</v>
      </c>
      <c r="H16" s="406">
        <v>4900</v>
      </c>
      <c r="I16" s="400">
        <v>20</v>
      </c>
      <c r="L16" s="402" t="s">
        <v>169</v>
      </c>
      <c r="M16" s="402" t="s">
        <v>198</v>
      </c>
      <c r="N16" s="402" t="s">
        <v>199</v>
      </c>
      <c r="O16" s="402" t="s">
        <v>172</v>
      </c>
      <c r="P16" s="402" t="s">
        <v>173</v>
      </c>
      <c r="Q16" s="403">
        <v>43867</v>
      </c>
      <c r="R16" s="404">
        <v>4793.3</v>
      </c>
      <c r="S16" s="407">
        <v>4800</v>
      </c>
      <c r="T16" s="404">
        <v>17</v>
      </c>
    </row>
    <row r="17" spans="1:20">
      <c r="A17" s="398" t="s">
        <v>169</v>
      </c>
      <c r="B17" s="398" t="s">
        <v>200</v>
      </c>
      <c r="C17" s="398" t="s">
        <v>201</v>
      </c>
      <c r="D17" s="398" t="s">
        <v>172</v>
      </c>
      <c r="E17" s="398" t="s">
        <v>173</v>
      </c>
      <c r="F17" s="399">
        <v>43875</v>
      </c>
      <c r="G17" s="400">
        <v>4266.7999999999993</v>
      </c>
      <c r="H17" s="406">
        <v>4300</v>
      </c>
      <c r="I17" s="400">
        <v>20</v>
      </c>
      <c r="L17" s="402" t="s">
        <v>169</v>
      </c>
      <c r="M17" s="402" t="s">
        <v>200</v>
      </c>
      <c r="N17" s="402" t="s">
        <v>201</v>
      </c>
      <c r="O17" s="402" t="s">
        <v>172</v>
      </c>
      <c r="P17" s="402" t="s">
        <v>173</v>
      </c>
      <c r="Q17" s="403">
        <v>43875</v>
      </c>
      <c r="R17" s="404">
        <v>4167.7</v>
      </c>
      <c r="S17" s="407">
        <v>4200</v>
      </c>
      <c r="T17" s="404">
        <v>17</v>
      </c>
    </row>
    <row r="18" spans="1:20">
      <c r="A18" s="398" t="s">
        <v>169</v>
      </c>
      <c r="B18" s="398" t="s">
        <v>202</v>
      </c>
      <c r="C18" s="398" t="s">
        <v>203</v>
      </c>
      <c r="D18" s="398" t="s">
        <v>172</v>
      </c>
      <c r="E18" s="398" t="s">
        <v>173</v>
      </c>
      <c r="F18" s="399">
        <v>43873</v>
      </c>
      <c r="G18" s="400">
        <v>43.3</v>
      </c>
      <c r="H18" s="401">
        <v>43</v>
      </c>
      <c r="I18" s="400">
        <v>20</v>
      </c>
      <c r="L18" s="402" t="s">
        <v>169</v>
      </c>
      <c r="M18" s="402" t="s">
        <v>202</v>
      </c>
      <c r="N18" s="402" t="s">
        <v>203</v>
      </c>
      <c r="O18" s="402" t="s">
        <v>172</v>
      </c>
      <c r="P18" s="402" t="s">
        <v>173</v>
      </c>
      <c r="Q18" s="403">
        <v>43873</v>
      </c>
      <c r="R18" s="404">
        <v>43.3</v>
      </c>
      <c r="S18" s="405">
        <v>43</v>
      </c>
      <c r="T18" s="404">
        <v>17</v>
      </c>
    </row>
    <row r="19" spans="1:20">
      <c r="A19" s="398" t="s">
        <v>169</v>
      </c>
      <c r="B19" s="398" t="s">
        <v>204</v>
      </c>
      <c r="C19" s="398" t="s">
        <v>205</v>
      </c>
      <c r="D19" s="398" t="s">
        <v>172</v>
      </c>
      <c r="E19" s="398" t="s">
        <v>173</v>
      </c>
      <c r="F19" s="399">
        <v>43874</v>
      </c>
      <c r="G19" s="400">
        <v>680550</v>
      </c>
      <c r="H19" s="406">
        <v>680000</v>
      </c>
      <c r="I19" s="400">
        <v>20</v>
      </c>
      <c r="L19" s="402" t="s">
        <v>169</v>
      </c>
      <c r="M19" s="402" t="s">
        <v>204</v>
      </c>
      <c r="N19" s="402" t="s">
        <v>205</v>
      </c>
      <c r="O19" s="402" t="s">
        <v>172</v>
      </c>
      <c r="P19" s="402" t="s">
        <v>173</v>
      </c>
      <c r="Q19" s="403">
        <v>43874</v>
      </c>
      <c r="R19" s="404">
        <v>675750</v>
      </c>
      <c r="S19" s="407">
        <v>680000</v>
      </c>
      <c r="T19" s="404">
        <v>17</v>
      </c>
    </row>
    <row r="20" spans="1:20">
      <c r="A20" s="398" t="s">
        <v>169</v>
      </c>
      <c r="B20" s="398" t="s">
        <v>206</v>
      </c>
      <c r="C20" s="398" t="s">
        <v>207</v>
      </c>
      <c r="D20" s="398" t="s">
        <v>172</v>
      </c>
      <c r="E20" s="398" t="s">
        <v>173</v>
      </c>
      <c r="F20" s="399">
        <v>43881</v>
      </c>
      <c r="G20" s="400">
        <v>252256</v>
      </c>
      <c r="H20" s="406">
        <v>250000</v>
      </c>
      <c r="I20" s="400">
        <v>20</v>
      </c>
      <c r="L20" s="402" t="s">
        <v>169</v>
      </c>
      <c r="M20" s="402" t="s">
        <v>206</v>
      </c>
      <c r="N20" s="402" t="s">
        <v>207</v>
      </c>
      <c r="O20" s="402" t="s">
        <v>172</v>
      </c>
      <c r="P20" s="402" t="s">
        <v>173</v>
      </c>
      <c r="Q20" s="403">
        <v>43881</v>
      </c>
      <c r="R20" s="404">
        <v>249916</v>
      </c>
      <c r="S20" s="407">
        <v>250000</v>
      </c>
      <c r="T20" s="404">
        <v>17</v>
      </c>
    </row>
    <row r="21" spans="1:20">
      <c r="A21" s="398" t="s">
        <v>169</v>
      </c>
      <c r="B21" s="398" t="s">
        <v>208</v>
      </c>
      <c r="C21" s="398" t="s">
        <v>209</v>
      </c>
      <c r="D21" s="398" t="s">
        <v>172</v>
      </c>
      <c r="E21" s="398" t="s">
        <v>173</v>
      </c>
      <c r="F21" s="399">
        <v>43871</v>
      </c>
      <c r="G21" s="400">
        <v>42</v>
      </c>
      <c r="H21" s="401">
        <v>42</v>
      </c>
      <c r="I21" s="400">
        <v>20</v>
      </c>
      <c r="L21" s="402" t="s">
        <v>169</v>
      </c>
      <c r="M21" s="402" t="s">
        <v>208</v>
      </c>
      <c r="N21" s="402" t="s">
        <v>209</v>
      </c>
      <c r="O21" s="402" t="s">
        <v>172</v>
      </c>
      <c r="P21" s="402" t="s">
        <v>173</v>
      </c>
      <c r="Q21" s="403">
        <v>43871</v>
      </c>
      <c r="R21" s="404">
        <v>42</v>
      </c>
      <c r="S21" s="405">
        <v>42</v>
      </c>
      <c r="T21" s="404">
        <v>17</v>
      </c>
    </row>
    <row r="22" spans="1:20">
      <c r="A22" s="398" t="s">
        <v>169</v>
      </c>
      <c r="B22" s="398" t="s">
        <v>208</v>
      </c>
      <c r="C22" s="398" t="s">
        <v>210</v>
      </c>
      <c r="D22" s="398" t="s">
        <v>172</v>
      </c>
      <c r="E22" s="398" t="s">
        <v>181</v>
      </c>
      <c r="F22" s="399">
        <v>43871</v>
      </c>
      <c r="G22" s="400">
        <v>44</v>
      </c>
      <c r="H22" s="401">
        <v>44</v>
      </c>
      <c r="I22" s="400">
        <v>20</v>
      </c>
      <c r="L22" s="402" t="s">
        <v>169</v>
      </c>
      <c r="M22" s="402" t="s">
        <v>208</v>
      </c>
      <c r="N22" s="402" t="s">
        <v>210</v>
      </c>
      <c r="O22" s="402" t="s">
        <v>172</v>
      </c>
      <c r="P22" s="402" t="s">
        <v>181</v>
      </c>
      <c r="Q22" s="403">
        <v>43871</v>
      </c>
      <c r="R22" s="404">
        <v>44</v>
      </c>
      <c r="S22" s="405">
        <v>44</v>
      </c>
      <c r="T22" s="404">
        <v>17</v>
      </c>
    </row>
    <row r="23" spans="1:20">
      <c r="A23" s="398" t="s">
        <v>169</v>
      </c>
      <c r="B23" s="398" t="s">
        <v>211</v>
      </c>
      <c r="C23" s="398" t="s">
        <v>212</v>
      </c>
      <c r="D23" s="398" t="s">
        <v>172</v>
      </c>
      <c r="E23" s="398" t="s">
        <v>173</v>
      </c>
      <c r="F23" s="399">
        <v>43872</v>
      </c>
      <c r="G23" s="400">
        <v>5198.7</v>
      </c>
      <c r="H23" s="406">
        <v>5200</v>
      </c>
      <c r="I23" s="400">
        <v>20</v>
      </c>
      <c r="L23" s="402" t="s">
        <v>169</v>
      </c>
      <c r="M23" s="402" t="s">
        <v>211</v>
      </c>
      <c r="N23" s="402" t="s">
        <v>212</v>
      </c>
      <c r="O23" s="402" t="s">
        <v>172</v>
      </c>
      <c r="P23" s="402" t="s">
        <v>173</v>
      </c>
      <c r="Q23" s="403">
        <v>43872</v>
      </c>
      <c r="R23" s="404">
        <v>5149.7</v>
      </c>
      <c r="S23" s="407">
        <v>5100</v>
      </c>
      <c r="T23" s="404">
        <v>17</v>
      </c>
    </row>
    <row r="24" spans="1:20">
      <c r="A24" s="398" t="s">
        <v>169</v>
      </c>
      <c r="B24" s="398" t="s">
        <v>213</v>
      </c>
      <c r="C24" s="398" t="s">
        <v>214</v>
      </c>
      <c r="D24" s="398" t="s">
        <v>172</v>
      </c>
      <c r="E24" s="398" t="s">
        <v>173</v>
      </c>
      <c r="F24" s="399">
        <v>43873</v>
      </c>
      <c r="G24" s="400">
        <v>10316</v>
      </c>
      <c r="H24" s="406">
        <v>10000</v>
      </c>
      <c r="I24" s="400">
        <v>20</v>
      </c>
      <c r="L24" s="402" t="s">
        <v>169</v>
      </c>
      <c r="M24" s="402" t="s">
        <v>213</v>
      </c>
      <c r="N24" s="402" t="s">
        <v>214</v>
      </c>
      <c r="O24" s="402" t="s">
        <v>172</v>
      </c>
      <c r="P24" s="402" t="s">
        <v>173</v>
      </c>
      <c r="Q24" s="403">
        <v>43873</v>
      </c>
      <c r="R24" s="404">
        <v>10106</v>
      </c>
      <c r="S24" s="407">
        <v>10000</v>
      </c>
      <c r="T24" s="404">
        <v>17</v>
      </c>
    </row>
    <row r="25" spans="1:20">
      <c r="A25" s="398" t="s">
        <v>215</v>
      </c>
      <c r="B25" s="398" t="s">
        <v>104</v>
      </c>
      <c r="C25" s="398" t="s">
        <v>105</v>
      </c>
      <c r="D25" s="398" t="s">
        <v>172</v>
      </c>
      <c r="E25" s="398" t="s">
        <v>173</v>
      </c>
      <c r="F25" s="399">
        <v>43923</v>
      </c>
      <c r="G25" s="400">
        <v>112.69999999999999</v>
      </c>
      <c r="H25" s="401">
        <v>110</v>
      </c>
      <c r="I25" s="400">
        <v>20</v>
      </c>
      <c r="L25" s="402" t="s">
        <v>215</v>
      </c>
      <c r="M25" s="402" t="s">
        <v>104</v>
      </c>
      <c r="N25" s="402" t="s">
        <v>105</v>
      </c>
      <c r="O25" s="402" t="s">
        <v>172</v>
      </c>
      <c r="P25" s="402" t="s">
        <v>173</v>
      </c>
      <c r="Q25" s="403">
        <v>43923</v>
      </c>
      <c r="R25" s="404">
        <v>86.6</v>
      </c>
      <c r="S25" s="405">
        <v>87</v>
      </c>
      <c r="T25" s="404">
        <v>17</v>
      </c>
    </row>
    <row r="26" spans="1:20">
      <c r="A26" s="398" t="s">
        <v>215</v>
      </c>
      <c r="B26" s="398" t="s">
        <v>104</v>
      </c>
      <c r="C26" s="398" t="s">
        <v>216</v>
      </c>
      <c r="D26" s="398" t="s">
        <v>172</v>
      </c>
      <c r="E26" s="398" t="s">
        <v>181</v>
      </c>
      <c r="F26" s="399">
        <v>43923</v>
      </c>
      <c r="G26" s="400">
        <v>109.1</v>
      </c>
      <c r="H26" s="401">
        <v>110</v>
      </c>
      <c r="I26" s="400">
        <v>20</v>
      </c>
      <c r="L26" s="402" t="s">
        <v>215</v>
      </c>
      <c r="M26" s="402" t="s">
        <v>104</v>
      </c>
      <c r="N26" s="402" t="s">
        <v>216</v>
      </c>
      <c r="O26" s="402" t="s">
        <v>172</v>
      </c>
      <c r="P26" s="402" t="s">
        <v>181</v>
      </c>
      <c r="Q26" s="403">
        <v>43923</v>
      </c>
      <c r="R26" s="404">
        <v>81.599999999999994</v>
      </c>
      <c r="S26" s="405">
        <v>82</v>
      </c>
      <c r="T26" s="404">
        <v>17</v>
      </c>
    </row>
    <row r="27" spans="1:20">
      <c r="A27" s="398" t="s">
        <v>215</v>
      </c>
      <c r="B27" s="398" t="s">
        <v>107</v>
      </c>
      <c r="C27" s="398" t="s">
        <v>108</v>
      </c>
      <c r="D27" s="398" t="s">
        <v>172</v>
      </c>
      <c r="E27" s="398" t="s">
        <v>173</v>
      </c>
      <c r="F27" s="399">
        <v>43927</v>
      </c>
      <c r="G27" s="400">
        <v>130.6</v>
      </c>
      <c r="H27" s="401">
        <v>130</v>
      </c>
      <c r="I27" s="400">
        <v>20</v>
      </c>
      <c r="L27" s="402" t="s">
        <v>215</v>
      </c>
      <c r="M27" s="402" t="s">
        <v>107</v>
      </c>
      <c r="N27" s="402" t="s">
        <v>108</v>
      </c>
      <c r="O27" s="402" t="s">
        <v>172</v>
      </c>
      <c r="P27" s="402" t="s">
        <v>173</v>
      </c>
      <c r="Q27" s="403">
        <v>43927</v>
      </c>
      <c r="R27" s="404">
        <v>97.699999999999989</v>
      </c>
      <c r="S27" s="405">
        <v>98</v>
      </c>
      <c r="T27" s="404">
        <v>17</v>
      </c>
    </row>
    <row r="28" spans="1:20">
      <c r="A28" s="398" t="s">
        <v>215</v>
      </c>
      <c r="B28" s="398" t="s">
        <v>66</v>
      </c>
      <c r="C28" s="398" t="s">
        <v>67</v>
      </c>
      <c r="D28" s="398" t="s">
        <v>172</v>
      </c>
      <c r="E28" s="398" t="s">
        <v>173</v>
      </c>
      <c r="F28" s="399">
        <v>43923</v>
      </c>
      <c r="G28" s="400">
        <v>0</v>
      </c>
      <c r="H28" s="401">
        <v>0</v>
      </c>
      <c r="I28" s="400">
        <v>20</v>
      </c>
      <c r="L28" s="402" t="s">
        <v>215</v>
      </c>
      <c r="M28" s="402" t="s">
        <v>66</v>
      </c>
      <c r="N28" s="402" t="s">
        <v>67</v>
      </c>
      <c r="O28" s="402" t="s">
        <v>172</v>
      </c>
      <c r="P28" s="402" t="s">
        <v>173</v>
      </c>
      <c r="Q28" s="403">
        <v>43923</v>
      </c>
      <c r="R28" s="404">
        <v>0</v>
      </c>
      <c r="S28" s="405">
        <v>0</v>
      </c>
      <c r="T28" s="404">
        <v>17</v>
      </c>
    </row>
    <row r="29" spans="1:20">
      <c r="A29" s="398" t="s">
        <v>215</v>
      </c>
      <c r="B29" s="398" t="s">
        <v>63</v>
      </c>
      <c r="C29" s="398" t="s">
        <v>64</v>
      </c>
      <c r="D29" s="398" t="s">
        <v>172</v>
      </c>
      <c r="E29" s="398" t="s">
        <v>173</v>
      </c>
      <c r="F29" s="399">
        <v>43924</v>
      </c>
      <c r="G29" s="400">
        <v>129.80000000000001</v>
      </c>
      <c r="H29" s="401">
        <v>130</v>
      </c>
      <c r="I29" s="400">
        <v>20</v>
      </c>
      <c r="L29" s="402" t="s">
        <v>215</v>
      </c>
      <c r="M29" s="402" t="s">
        <v>63</v>
      </c>
      <c r="N29" s="402" t="s">
        <v>64</v>
      </c>
      <c r="O29" s="402" t="s">
        <v>172</v>
      </c>
      <c r="P29" s="402" t="s">
        <v>173</v>
      </c>
      <c r="Q29" s="403">
        <v>43924</v>
      </c>
      <c r="R29" s="404">
        <v>99.7</v>
      </c>
      <c r="S29" s="405">
        <v>100</v>
      </c>
      <c r="T29" s="404">
        <v>17</v>
      </c>
    </row>
    <row r="30" spans="1:20">
      <c r="A30" s="398" t="s">
        <v>215</v>
      </c>
      <c r="B30" s="398" t="s">
        <v>94</v>
      </c>
      <c r="C30" s="398" t="s">
        <v>95</v>
      </c>
      <c r="D30" s="398" t="s">
        <v>172</v>
      </c>
      <c r="E30" s="398" t="s">
        <v>173</v>
      </c>
      <c r="F30" s="399">
        <v>43923</v>
      </c>
      <c r="G30" s="400">
        <v>1935.6</v>
      </c>
      <c r="H30" s="406">
        <v>1900</v>
      </c>
      <c r="I30" s="400">
        <v>20</v>
      </c>
      <c r="L30" s="402" t="s">
        <v>215</v>
      </c>
      <c r="M30" s="402" t="s">
        <v>94</v>
      </c>
      <c r="N30" s="402" t="s">
        <v>95</v>
      </c>
      <c r="O30" s="402" t="s">
        <v>172</v>
      </c>
      <c r="P30" s="402" t="s">
        <v>173</v>
      </c>
      <c r="Q30" s="403">
        <v>43923</v>
      </c>
      <c r="R30" s="404">
        <v>1839.1</v>
      </c>
      <c r="S30" s="407">
        <v>1800</v>
      </c>
      <c r="T30" s="404">
        <v>17</v>
      </c>
    </row>
    <row r="31" spans="1:20">
      <c r="A31" s="398" t="s">
        <v>215</v>
      </c>
      <c r="B31" s="398" t="s">
        <v>91</v>
      </c>
      <c r="C31" s="398" t="s">
        <v>92</v>
      </c>
      <c r="D31" s="398" t="s">
        <v>172</v>
      </c>
      <c r="E31" s="398" t="s">
        <v>173</v>
      </c>
      <c r="F31" s="399">
        <v>43924</v>
      </c>
      <c r="G31" s="400">
        <v>113505</v>
      </c>
      <c r="H31" s="406">
        <v>110000</v>
      </c>
      <c r="I31" s="400">
        <v>20</v>
      </c>
      <c r="L31" s="402" t="s">
        <v>215</v>
      </c>
      <c r="M31" s="402" t="s">
        <v>91</v>
      </c>
      <c r="N31" s="402" t="s">
        <v>92</v>
      </c>
      <c r="O31" s="402" t="s">
        <v>172</v>
      </c>
      <c r="P31" s="402" t="s">
        <v>173</v>
      </c>
      <c r="Q31" s="403">
        <v>43924</v>
      </c>
      <c r="R31" s="404">
        <v>111865</v>
      </c>
      <c r="S31" s="407">
        <v>110000</v>
      </c>
      <c r="T31" s="404">
        <v>17</v>
      </c>
    </row>
    <row r="32" spans="1:20">
      <c r="A32" s="398" t="s">
        <v>215</v>
      </c>
      <c r="B32" s="398" t="s">
        <v>73</v>
      </c>
      <c r="C32" s="398" t="s">
        <v>217</v>
      </c>
      <c r="D32" s="398" t="s">
        <v>172</v>
      </c>
      <c r="E32" s="398" t="s">
        <v>173</v>
      </c>
      <c r="F32" s="399">
        <v>43924</v>
      </c>
      <c r="G32" s="400">
        <v>251.9</v>
      </c>
      <c r="H32" s="401">
        <v>250</v>
      </c>
      <c r="I32" s="400">
        <v>20</v>
      </c>
      <c r="L32" s="402" t="s">
        <v>215</v>
      </c>
      <c r="M32" s="402" t="s">
        <v>73</v>
      </c>
      <c r="N32" s="402" t="s">
        <v>217</v>
      </c>
      <c r="O32" s="402" t="s">
        <v>172</v>
      </c>
      <c r="P32" s="402" t="s">
        <v>173</v>
      </c>
      <c r="Q32" s="403">
        <v>43924</v>
      </c>
      <c r="R32" s="404">
        <v>133.6</v>
      </c>
      <c r="S32" s="405">
        <v>130</v>
      </c>
      <c r="T32" s="404">
        <v>17</v>
      </c>
    </row>
    <row r="33" spans="1:20">
      <c r="A33" s="409" t="s">
        <v>215</v>
      </c>
      <c r="B33" s="409" t="s">
        <v>73</v>
      </c>
      <c r="C33" s="409" t="s">
        <v>74</v>
      </c>
      <c r="D33" s="409" t="s">
        <v>172</v>
      </c>
      <c r="E33" s="409" t="s">
        <v>173</v>
      </c>
      <c r="F33" s="410">
        <v>43924</v>
      </c>
      <c r="G33" s="411">
        <v>318.99999999999994</v>
      </c>
      <c r="H33" s="412">
        <v>320</v>
      </c>
      <c r="I33" s="400">
        <v>20</v>
      </c>
      <c r="L33" s="402" t="s">
        <v>215</v>
      </c>
      <c r="M33" s="402" t="s">
        <v>73</v>
      </c>
      <c r="N33" s="402" t="s">
        <v>74</v>
      </c>
      <c r="O33" s="402" t="s">
        <v>172</v>
      </c>
      <c r="P33" s="402" t="s">
        <v>173</v>
      </c>
      <c r="Q33" s="403">
        <v>43924</v>
      </c>
      <c r="R33" s="404">
        <v>178.1</v>
      </c>
      <c r="S33" s="405">
        <v>180</v>
      </c>
      <c r="T33" s="404">
        <v>17</v>
      </c>
    </row>
    <row r="34" spans="1:20">
      <c r="A34" s="398" t="s">
        <v>215</v>
      </c>
      <c r="B34" s="398" t="s">
        <v>78</v>
      </c>
      <c r="C34" s="398" t="s">
        <v>79</v>
      </c>
      <c r="D34" s="398" t="s">
        <v>172</v>
      </c>
      <c r="E34" s="398" t="s">
        <v>173</v>
      </c>
      <c r="F34" s="399">
        <v>43924</v>
      </c>
      <c r="G34" s="400">
        <v>294173</v>
      </c>
      <c r="H34" s="406">
        <v>290000</v>
      </c>
      <c r="I34" s="400">
        <v>20</v>
      </c>
      <c r="L34" s="402" t="s">
        <v>215</v>
      </c>
      <c r="M34" s="402" t="s">
        <v>78</v>
      </c>
      <c r="N34" s="402" t="s">
        <v>79</v>
      </c>
      <c r="O34" s="402" t="s">
        <v>172</v>
      </c>
      <c r="P34" s="402" t="s">
        <v>173</v>
      </c>
      <c r="Q34" s="403">
        <v>43924</v>
      </c>
      <c r="R34" s="404">
        <v>262773</v>
      </c>
      <c r="S34" s="407">
        <v>260000</v>
      </c>
      <c r="T34" s="404">
        <v>17</v>
      </c>
    </row>
    <row r="35" spans="1:20">
      <c r="A35" s="398" t="s">
        <v>215</v>
      </c>
      <c r="B35" s="398" t="s">
        <v>81</v>
      </c>
      <c r="C35" s="398" t="s">
        <v>82</v>
      </c>
      <c r="D35" s="398" t="s">
        <v>172</v>
      </c>
      <c r="E35" s="398" t="s">
        <v>173</v>
      </c>
      <c r="F35" s="399">
        <v>43924</v>
      </c>
      <c r="G35" s="400">
        <v>344886</v>
      </c>
      <c r="H35" s="406">
        <v>340000</v>
      </c>
      <c r="I35" s="400">
        <v>20</v>
      </c>
      <c r="L35" s="402" t="s">
        <v>215</v>
      </c>
      <c r="M35" s="402" t="s">
        <v>81</v>
      </c>
      <c r="N35" s="402" t="s">
        <v>82</v>
      </c>
      <c r="O35" s="402" t="s">
        <v>172</v>
      </c>
      <c r="P35" s="402" t="s">
        <v>173</v>
      </c>
      <c r="Q35" s="403">
        <v>43924</v>
      </c>
      <c r="R35" s="404">
        <v>312486</v>
      </c>
      <c r="S35" s="407">
        <v>310000</v>
      </c>
      <c r="T35" s="404">
        <v>17</v>
      </c>
    </row>
    <row r="36" spans="1:20">
      <c r="A36" s="398" t="s">
        <v>215</v>
      </c>
      <c r="B36" s="398" t="s">
        <v>84</v>
      </c>
      <c r="C36" s="398" t="s">
        <v>85</v>
      </c>
      <c r="D36" s="398" t="s">
        <v>172</v>
      </c>
      <c r="E36" s="398" t="s">
        <v>173</v>
      </c>
      <c r="F36" s="399">
        <v>43924</v>
      </c>
      <c r="G36" s="400">
        <v>317364</v>
      </c>
      <c r="H36" s="406">
        <v>320000</v>
      </c>
      <c r="I36" s="400">
        <v>20</v>
      </c>
      <c r="L36" s="402" t="s">
        <v>215</v>
      </c>
      <c r="M36" s="402" t="s">
        <v>84</v>
      </c>
      <c r="N36" s="402" t="s">
        <v>85</v>
      </c>
      <c r="O36" s="402" t="s">
        <v>172</v>
      </c>
      <c r="P36" s="402" t="s">
        <v>173</v>
      </c>
      <c r="Q36" s="403">
        <v>43924</v>
      </c>
      <c r="R36" s="404">
        <v>310964</v>
      </c>
      <c r="S36" s="407">
        <v>310000</v>
      </c>
      <c r="T36" s="404">
        <v>17</v>
      </c>
    </row>
    <row r="37" spans="1:20">
      <c r="A37" s="398" t="s">
        <v>215</v>
      </c>
      <c r="B37" s="398" t="s">
        <v>88</v>
      </c>
      <c r="C37" s="398" t="s">
        <v>89</v>
      </c>
      <c r="D37" s="398" t="s">
        <v>172</v>
      </c>
      <c r="E37" s="398" t="s">
        <v>173</v>
      </c>
      <c r="F37" s="399">
        <v>43924</v>
      </c>
      <c r="G37" s="400">
        <v>183997</v>
      </c>
      <c r="H37" s="406">
        <v>180000</v>
      </c>
      <c r="I37" s="400">
        <v>20</v>
      </c>
      <c r="L37" s="402" t="s">
        <v>215</v>
      </c>
      <c r="M37" s="402" t="s">
        <v>88</v>
      </c>
      <c r="N37" s="402" t="s">
        <v>89</v>
      </c>
      <c r="O37" s="402" t="s">
        <v>172</v>
      </c>
      <c r="P37" s="402" t="s">
        <v>173</v>
      </c>
      <c r="Q37" s="403">
        <v>43924</v>
      </c>
      <c r="R37" s="404">
        <v>179597</v>
      </c>
      <c r="S37" s="407">
        <v>180000</v>
      </c>
      <c r="T37" s="404">
        <v>17</v>
      </c>
    </row>
    <row r="38" spans="1:20">
      <c r="A38" s="398" t="s">
        <v>215</v>
      </c>
      <c r="B38" s="398" t="s">
        <v>99</v>
      </c>
      <c r="C38" s="398" t="s">
        <v>102</v>
      </c>
      <c r="D38" s="398" t="s">
        <v>172</v>
      </c>
      <c r="E38" s="398" t="s">
        <v>173</v>
      </c>
      <c r="F38" s="399">
        <v>43923</v>
      </c>
      <c r="G38" s="400">
        <v>132.30000000000001</v>
      </c>
      <c r="H38" s="401">
        <v>130</v>
      </c>
      <c r="I38" s="400">
        <v>20</v>
      </c>
      <c r="L38" s="402" t="s">
        <v>215</v>
      </c>
      <c r="M38" s="398" t="s">
        <v>99</v>
      </c>
      <c r="N38" s="402" t="s">
        <v>102</v>
      </c>
      <c r="O38" s="402" t="s">
        <v>172</v>
      </c>
      <c r="P38" s="402" t="s">
        <v>173</v>
      </c>
      <c r="Q38" s="403">
        <v>43923</v>
      </c>
      <c r="R38" s="404">
        <v>91.2</v>
      </c>
      <c r="S38" s="405">
        <v>91</v>
      </c>
      <c r="T38" s="404">
        <v>17</v>
      </c>
    </row>
    <row r="39" spans="1:20">
      <c r="A39" s="398" t="s">
        <v>215</v>
      </c>
      <c r="B39" s="398" t="s">
        <v>99</v>
      </c>
      <c r="C39" s="398" t="s">
        <v>100</v>
      </c>
      <c r="D39" s="398" t="s">
        <v>172</v>
      </c>
      <c r="E39" s="398" t="s">
        <v>173</v>
      </c>
      <c r="F39" s="399">
        <v>43924</v>
      </c>
      <c r="G39" s="400">
        <v>155.60000000000002</v>
      </c>
      <c r="H39" s="401">
        <v>160</v>
      </c>
      <c r="I39" s="400">
        <v>20</v>
      </c>
      <c r="L39" s="402" t="s">
        <v>215</v>
      </c>
      <c r="M39" s="398" t="s">
        <v>99</v>
      </c>
      <c r="N39" s="402" t="s">
        <v>100</v>
      </c>
      <c r="O39" s="402" t="s">
        <v>172</v>
      </c>
      <c r="P39" s="402" t="s">
        <v>173</v>
      </c>
      <c r="Q39" s="403">
        <v>43924</v>
      </c>
      <c r="R39" s="404">
        <v>121.8</v>
      </c>
      <c r="S39" s="405">
        <v>120</v>
      </c>
      <c r="T39" s="404">
        <v>17</v>
      </c>
    </row>
    <row r="40" spans="1:20">
      <c r="A40" s="398" t="s">
        <v>215</v>
      </c>
      <c r="B40" s="398" t="s">
        <v>69</v>
      </c>
      <c r="C40" s="398" t="s">
        <v>70</v>
      </c>
      <c r="D40" s="398" t="s">
        <v>172</v>
      </c>
      <c r="E40" s="398" t="s">
        <v>173</v>
      </c>
      <c r="F40" s="399">
        <v>43924</v>
      </c>
      <c r="G40" s="400">
        <v>2360.3000000000002</v>
      </c>
      <c r="H40" s="406">
        <v>2400</v>
      </c>
      <c r="I40" s="400">
        <v>37</v>
      </c>
      <c r="L40" s="402" t="s">
        <v>215</v>
      </c>
      <c r="M40" s="402" t="s">
        <v>69</v>
      </c>
      <c r="N40" s="402" t="s">
        <v>70</v>
      </c>
      <c r="O40" s="402" t="s">
        <v>172</v>
      </c>
      <c r="P40" s="402" t="s">
        <v>173</v>
      </c>
      <c r="Q40" s="403">
        <v>43924</v>
      </c>
      <c r="R40" s="404">
        <v>2003.3</v>
      </c>
      <c r="S40" s="407">
        <v>2000</v>
      </c>
      <c r="T40" s="404">
        <v>17</v>
      </c>
    </row>
  </sheetData>
  <sheetProtection sheet="1" objects="1" scenarios="1"/>
  <mergeCells count="2">
    <mergeCell ref="A1:I1"/>
    <mergeCell ref="L1:T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52E2-07AC-4A27-8026-41918C2FFACF}">
  <sheetPr>
    <tabColor rgb="FF9966FF"/>
  </sheetPr>
  <dimension ref="A1:M416"/>
  <sheetViews>
    <sheetView topLeftCell="A213" workbookViewId="0">
      <selection activeCell="M135" sqref="M135"/>
    </sheetView>
  </sheetViews>
  <sheetFormatPr defaultRowHeight="15"/>
  <cols>
    <col min="13" max="13" width="10.140625" bestFit="1" customWidth="1"/>
  </cols>
  <sheetData>
    <row r="1" spans="1:1">
      <c r="A1" s="18" t="s">
        <v>218</v>
      </c>
    </row>
    <row r="2" spans="1:1">
      <c r="A2" s="18" t="s">
        <v>219</v>
      </c>
    </row>
    <row r="3" spans="1:1">
      <c r="A3" s="18" t="s">
        <v>220</v>
      </c>
    </row>
    <row r="4" spans="1:1">
      <c r="A4" s="18" t="s">
        <v>221</v>
      </c>
    </row>
    <row r="5" spans="1:1">
      <c r="A5" s="18" t="s">
        <v>222</v>
      </c>
    </row>
    <row r="6" spans="1:1">
      <c r="A6" s="18" t="s">
        <v>223</v>
      </c>
    </row>
    <row r="7" spans="1:1">
      <c r="A7" s="18" t="s">
        <v>224</v>
      </c>
    </row>
    <row r="8" spans="1:1">
      <c r="A8" s="18" t="s">
        <v>225</v>
      </c>
    </row>
    <row r="9" spans="1:1">
      <c r="A9" s="18" t="s">
        <v>224</v>
      </c>
    </row>
    <row r="10" spans="1:1">
      <c r="A10" s="18" t="s">
        <v>226</v>
      </c>
    </row>
    <row r="11" spans="1:1">
      <c r="A11" s="18" t="s">
        <v>227</v>
      </c>
    </row>
    <row r="12" spans="1:1">
      <c r="A12" s="18" t="s">
        <v>224</v>
      </c>
    </row>
    <row r="13" spans="1:1">
      <c r="A13" s="18" t="s">
        <v>228</v>
      </c>
    </row>
    <row r="14" spans="1:1">
      <c r="A14" s="18" t="s">
        <v>229</v>
      </c>
    </row>
    <row r="15" spans="1:1">
      <c r="A15" s="18" t="s">
        <v>224</v>
      </c>
    </row>
    <row r="16" spans="1:1">
      <c r="A16" s="18" t="s">
        <v>230</v>
      </c>
    </row>
    <row r="17" spans="1:12">
      <c r="A17" s="18" t="s">
        <v>231</v>
      </c>
      <c r="B17" s="22"/>
      <c r="C17" s="22"/>
      <c r="D17" s="22"/>
      <c r="E17" s="22"/>
      <c r="F17" s="22"/>
      <c r="G17" s="22"/>
      <c r="H17" s="22"/>
      <c r="I17" s="22"/>
      <c r="J17" s="22"/>
      <c r="K17" s="22"/>
      <c r="L17" s="22"/>
    </row>
    <row r="18" spans="1:12">
      <c r="A18" s="18" t="s">
        <v>232</v>
      </c>
      <c r="B18" s="22"/>
      <c r="C18" s="22"/>
      <c r="D18" s="22"/>
      <c r="E18" s="22"/>
      <c r="F18" s="22"/>
      <c r="G18" s="22"/>
      <c r="H18" s="22"/>
      <c r="I18" s="22"/>
      <c r="J18" s="22"/>
      <c r="K18" s="22"/>
      <c r="L18" s="22"/>
    </row>
    <row r="19" spans="1:12">
      <c r="A19" s="18" t="s">
        <v>224</v>
      </c>
      <c r="B19" s="22"/>
      <c r="C19" s="22"/>
      <c r="D19" s="22"/>
      <c r="E19" s="22"/>
      <c r="F19" s="22"/>
      <c r="G19" s="22"/>
      <c r="H19" s="22"/>
      <c r="I19" s="22"/>
      <c r="J19" s="22"/>
      <c r="K19" s="22"/>
      <c r="L19" s="22"/>
    </row>
    <row r="20" spans="1:12">
      <c r="A20" s="18" t="s">
        <v>233</v>
      </c>
      <c r="B20" s="22"/>
      <c r="C20" s="22"/>
      <c r="D20" s="22"/>
      <c r="E20" s="22"/>
      <c r="F20" s="22"/>
      <c r="G20" s="22"/>
      <c r="H20" s="22"/>
      <c r="I20" s="22"/>
      <c r="J20" s="22"/>
      <c r="K20" s="22"/>
      <c r="L20" s="22"/>
    </row>
    <row r="21" spans="1:12">
      <c r="A21" s="18" t="s">
        <v>234</v>
      </c>
      <c r="B21" s="22"/>
      <c r="C21" s="22"/>
      <c r="D21" s="22"/>
      <c r="E21" s="22"/>
      <c r="F21" s="22"/>
      <c r="G21" s="22"/>
      <c r="H21" s="22"/>
      <c r="I21" s="22"/>
      <c r="J21" s="22"/>
      <c r="K21" s="22"/>
      <c r="L21" s="22"/>
    </row>
    <row r="22" spans="1:12">
      <c r="A22" s="18" t="s">
        <v>235</v>
      </c>
      <c r="B22" s="22"/>
      <c r="C22" s="22"/>
      <c r="D22" s="22"/>
      <c r="E22" s="22"/>
      <c r="F22" s="22"/>
      <c r="G22" s="22"/>
      <c r="H22" s="22"/>
      <c r="I22" s="22"/>
      <c r="J22" s="22"/>
      <c r="K22" s="22"/>
      <c r="L22" s="22"/>
    </row>
    <row r="23" spans="1:12">
      <c r="A23" s="18" t="s">
        <v>236</v>
      </c>
      <c r="B23" s="22"/>
      <c r="C23" s="22"/>
      <c r="D23" s="22"/>
      <c r="E23" s="22"/>
      <c r="F23" s="22"/>
      <c r="G23" s="22"/>
      <c r="H23" s="22"/>
      <c r="I23" s="22"/>
      <c r="J23" s="22"/>
      <c r="K23" s="22"/>
      <c r="L23" s="22"/>
    </row>
    <row r="24" spans="1:12">
      <c r="A24" s="18" t="s">
        <v>237</v>
      </c>
      <c r="B24" s="22"/>
      <c r="C24" s="22"/>
      <c r="D24" s="22"/>
      <c r="E24" s="22"/>
      <c r="F24" s="22"/>
      <c r="G24" s="22"/>
      <c r="H24" s="22"/>
      <c r="I24" s="22"/>
      <c r="J24" s="22"/>
      <c r="K24" s="22"/>
      <c r="L24" s="22"/>
    </row>
    <row r="25" spans="1:12">
      <c r="A25" s="18" t="s">
        <v>224</v>
      </c>
      <c r="B25" s="22"/>
      <c r="C25" s="22"/>
      <c r="D25" s="22"/>
      <c r="E25" s="22"/>
      <c r="F25" s="22"/>
      <c r="G25" s="22"/>
      <c r="H25" s="22"/>
      <c r="I25" s="22"/>
      <c r="J25" s="22"/>
      <c r="K25" s="22"/>
      <c r="L25" s="22"/>
    </row>
    <row r="26" spans="1:12">
      <c r="A26" s="18" t="s">
        <v>238</v>
      </c>
      <c r="B26" s="22"/>
      <c r="C26" s="22"/>
      <c r="D26" s="22"/>
      <c r="E26" s="22"/>
      <c r="F26" s="22"/>
      <c r="G26" s="22"/>
      <c r="H26" s="22"/>
      <c r="I26" s="22"/>
      <c r="J26" s="22"/>
      <c r="K26" s="22"/>
      <c r="L26" s="22"/>
    </row>
    <row r="27" spans="1:12">
      <c r="A27" s="18" t="s">
        <v>239</v>
      </c>
      <c r="B27" s="22"/>
      <c r="C27" s="22"/>
      <c r="D27" s="22"/>
      <c r="E27" s="22"/>
      <c r="F27" s="22"/>
      <c r="G27" s="22"/>
      <c r="H27" s="22"/>
      <c r="I27" s="22"/>
      <c r="J27" s="22"/>
      <c r="K27" s="22"/>
      <c r="L27" s="22"/>
    </row>
    <row r="28" spans="1:12">
      <c r="A28" s="18" t="s">
        <v>240</v>
      </c>
      <c r="B28" s="22"/>
      <c r="C28" s="22"/>
      <c r="D28" s="22"/>
      <c r="E28" s="22"/>
      <c r="F28" s="22"/>
      <c r="G28" s="22"/>
      <c r="H28" s="22"/>
      <c r="I28" s="22"/>
      <c r="J28" s="22"/>
      <c r="K28" s="22"/>
      <c r="L28" s="22"/>
    </row>
    <row r="29" spans="1:12">
      <c r="A29" s="18" t="s">
        <v>241</v>
      </c>
      <c r="B29" s="22"/>
      <c r="C29" s="22"/>
      <c r="D29" s="22"/>
      <c r="E29" s="22"/>
      <c r="F29" s="22"/>
      <c r="G29" s="22"/>
      <c r="H29" s="22"/>
      <c r="I29" s="22"/>
      <c r="J29" s="22"/>
      <c r="K29" s="22"/>
      <c r="L29" s="22"/>
    </row>
    <row r="30" spans="1:12">
      <c r="A30" s="18" t="s">
        <v>242</v>
      </c>
      <c r="B30" s="22"/>
      <c r="C30" s="22"/>
      <c r="D30" s="22"/>
      <c r="E30" s="22"/>
      <c r="F30" s="22"/>
      <c r="G30" s="22"/>
      <c r="H30" s="22"/>
      <c r="I30" s="22"/>
      <c r="J30" s="22"/>
      <c r="K30" s="22"/>
      <c r="L30" s="22"/>
    </row>
    <row r="31" spans="1:12">
      <c r="A31" s="18" t="s">
        <v>243</v>
      </c>
      <c r="B31" s="22"/>
      <c r="C31" s="22"/>
      <c r="D31" s="22"/>
      <c r="E31" s="22"/>
      <c r="F31" s="22"/>
      <c r="G31" s="22"/>
      <c r="H31" s="22"/>
      <c r="I31" s="22"/>
      <c r="J31" s="22"/>
      <c r="K31" s="22"/>
      <c r="L31" s="22"/>
    </row>
    <row r="32" spans="1:12" s="22" customFormat="1">
      <c r="A32" s="18"/>
      <c r="C32" s="22" t="s">
        <v>244</v>
      </c>
      <c r="D32" s="22" t="s">
        <v>245</v>
      </c>
      <c r="F32" s="22" t="s">
        <v>246</v>
      </c>
      <c r="H32" s="22" t="s">
        <v>247</v>
      </c>
      <c r="J32" s="22" t="s">
        <v>248</v>
      </c>
      <c r="L32" s="22" t="s">
        <v>249</v>
      </c>
    </row>
    <row r="33" spans="1:13">
      <c r="A33" s="18" t="s">
        <v>250</v>
      </c>
      <c r="B33" s="22">
        <v>2105500</v>
      </c>
      <c r="C33" s="1">
        <v>43922</v>
      </c>
      <c r="D33" s="19">
        <v>0</v>
      </c>
      <c r="E33" s="22" t="s">
        <v>251</v>
      </c>
      <c r="F33" s="22">
        <v>5690</v>
      </c>
      <c r="G33" s="22" t="s">
        <v>252</v>
      </c>
      <c r="H33" s="22">
        <v>3.86</v>
      </c>
      <c r="I33" s="22" t="s">
        <v>252</v>
      </c>
      <c r="J33" s="22">
        <v>0</v>
      </c>
      <c r="K33" s="22" t="s">
        <v>253</v>
      </c>
      <c r="L33" s="5">
        <f>CONVERT((D34-D33),"day","sec")</f>
        <v>900</v>
      </c>
      <c r="M33" s="21">
        <f>F33*L33*7.4805</f>
        <v>38307640.5</v>
      </c>
    </row>
    <row r="34" spans="1:13">
      <c r="A34" s="18" t="s">
        <v>250</v>
      </c>
      <c r="B34" s="22">
        <v>2105500</v>
      </c>
      <c r="C34" s="1">
        <v>43922</v>
      </c>
      <c r="D34" s="19">
        <v>1.0416666666666666E-2</v>
      </c>
      <c r="E34" s="22" t="s">
        <v>251</v>
      </c>
      <c r="F34" s="22">
        <v>5660</v>
      </c>
      <c r="G34" s="22" t="s">
        <v>252</v>
      </c>
      <c r="H34" s="22">
        <v>3.85</v>
      </c>
      <c r="I34" s="22" t="s">
        <v>252</v>
      </c>
      <c r="J34" s="22">
        <v>0</v>
      </c>
      <c r="K34" s="22" t="s">
        <v>253</v>
      </c>
      <c r="L34" s="5">
        <f t="shared" ref="L34:L97" si="0">CONVERT((D35-D34),"day","sec")</f>
        <v>900</v>
      </c>
      <c r="M34" s="21">
        <f t="shared" ref="M34:M97" si="1">F34*L34*7.4805</f>
        <v>38105667</v>
      </c>
    </row>
    <row r="35" spans="1:13">
      <c r="A35" s="18" t="s">
        <v>250</v>
      </c>
      <c r="B35" s="22">
        <v>2105500</v>
      </c>
      <c r="C35" s="1">
        <v>43922</v>
      </c>
      <c r="D35" s="19">
        <v>2.0833333333333332E-2</v>
      </c>
      <c r="E35" s="22" t="s">
        <v>251</v>
      </c>
      <c r="F35" s="22">
        <v>5660</v>
      </c>
      <c r="G35" s="22" t="s">
        <v>252</v>
      </c>
      <c r="H35" s="22">
        <v>3.85</v>
      </c>
      <c r="I35" s="22" t="s">
        <v>252</v>
      </c>
      <c r="J35" s="22">
        <v>0</v>
      </c>
      <c r="K35" s="22" t="s">
        <v>253</v>
      </c>
      <c r="L35" s="5">
        <f t="shared" si="0"/>
        <v>900.00000000000011</v>
      </c>
      <c r="M35" s="21">
        <f t="shared" si="1"/>
        <v>38105667.000000007</v>
      </c>
    </row>
    <row r="36" spans="1:13">
      <c r="A36" s="18" t="s">
        <v>250</v>
      </c>
      <c r="B36" s="22">
        <v>2105500</v>
      </c>
      <c r="C36" s="1">
        <v>43922</v>
      </c>
      <c r="D36" s="19">
        <v>3.125E-2</v>
      </c>
      <c r="E36" s="22" t="s">
        <v>251</v>
      </c>
      <c r="F36" s="22">
        <v>5640</v>
      </c>
      <c r="G36" s="22" t="s">
        <v>252</v>
      </c>
      <c r="H36" s="22">
        <v>3.84</v>
      </c>
      <c r="I36" s="22" t="s">
        <v>252</v>
      </c>
      <c r="J36" s="22">
        <v>0.01</v>
      </c>
      <c r="K36" s="22" t="s">
        <v>253</v>
      </c>
      <c r="L36" s="5">
        <f t="shared" si="0"/>
        <v>899.99999999999977</v>
      </c>
      <c r="M36" s="21">
        <f t="shared" si="1"/>
        <v>37971017.999999993</v>
      </c>
    </row>
    <row r="37" spans="1:13">
      <c r="A37" s="18" t="s">
        <v>250</v>
      </c>
      <c r="B37" s="22">
        <v>2105500</v>
      </c>
      <c r="C37" s="1">
        <v>43922</v>
      </c>
      <c r="D37" s="19">
        <v>4.1666666666666664E-2</v>
      </c>
      <c r="E37" s="22" t="s">
        <v>251</v>
      </c>
      <c r="F37" s="22">
        <v>5640</v>
      </c>
      <c r="G37" s="22" t="s">
        <v>252</v>
      </c>
      <c r="H37" s="22">
        <v>3.84</v>
      </c>
      <c r="I37" s="22" t="s">
        <v>252</v>
      </c>
      <c r="J37" s="22">
        <v>0.02</v>
      </c>
      <c r="K37" s="22" t="s">
        <v>253</v>
      </c>
      <c r="L37" s="5">
        <f t="shared" si="0"/>
        <v>900.00000000000045</v>
      </c>
      <c r="M37" s="21">
        <f t="shared" si="1"/>
        <v>37971018.000000022</v>
      </c>
    </row>
    <row r="38" spans="1:13">
      <c r="A38" s="18" t="s">
        <v>250</v>
      </c>
      <c r="B38" s="22">
        <v>2105500</v>
      </c>
      <c r="C38" s="1">
        <v>43922</v>
      </c>
      <c r="D38" s="19">
        <v>5.2083333333333336E-2</v>
      </c>
      <c r="E38" s="22" t="s">
        <v>251</v>
      </c>
      <c r="F38" s="22">
        <v>5640</v>
      </c>
      <c r="G38" s="22" t="s">
        <v>252</v>
      </c>
      <c r="H38" s="22">
        <v>3.84</v>
      </c>
      <c r="I38" s="22" t="s">
        <v>252</v>
      </c>
      <c r="J38" s="22">
        <v>0.02</v>
      </c>
      <c r="K38" s="22" t="s">
        <v>253</v>
      </c>
      <c r="L38" s="5">
        <f t="shared" si="0"/>
        <v>899.99999999999977</v>
      </c>
      <c r="M38" s="21">
        <f t="shared" si="1"/>
        <v>37971017.999999993</v>
      </c>
    </row>
    <row r="39" spans="1:13">
      <c r="A39" s="18" t="s">
        <v>250</v>
      </c>
      <c r="B39" s="22">
        <v>2105500</v>
      </c>
      <c r="C39" s="1">
        <v>43922</v>
      </c>
      <c r="D39" s="19">
        <v>6.25E-2</v>
      </c>
      <c r="E39" s="22" t="s">
        <v>251</v>
      </c>
      <c r="F39" s="22">
        <v>5640</v>
      </c>
      <c r="G39" s="22" t="s">
        <v>252</v>
      </c>
      <c r="H39" s="22">
        <v>3.84</v>
      </c>
      <c r="I39" s="22" t="s">
        <v>252</v>
      </c>
      <c r="J39" s="22">
        <v>0</v>
      </c>
      <c r="K39" s="22" t="s">
        <v>253</v>
      </c>
      <c r="L39" s="5">
        <f t="shared" si="0"/>
        <v>900.00000000000045</v>
      </c>
      <c r="M39" s="21">
        <f t="shared" si="1"/>
        <v>37971018.000000022</v>
      </c>
    </row>
    <row r="40" spans="1:13">
      <c r="A40" s="18" t="s">
        <v>250</v>
      </c>
      <c r="B40" s="22">
        <v>2105500</v>
      </c>
      <c r="C40" s="1">
        <v>43922</v>
      </c>
      <c r="D40" s="19">
        <v>7.2916666666666671E-2</v>
      </c>
      <c r="E40" s="22" t="s">
        <v>251</v>
      </c>
      <c r="F40" s="22">
        <v>5610</v>
      </c>
      <c r="G40" s="22" t="s">
        <v>252</v>
      </c>
      <c r="H40" s="22">
        <v>3.83</v>
      </c>
      <c r="I40" s="22" t="s">
        <v>252</v>
      </c>
      <c r="J40" s="22">
        <v>0</v>
      </c>
      <c r="K40" s="22" t="s">
        <v>253</v>
      </c>
      <c r="L40" s="5">
        <f t="shared" si="0"/>
        <v>899.9999999999992</v>
      </c>
      <c r="M40" s="21">
        <f t="shared" si="1"/>
        <v>37769044.499999963</v>
      </c>
    </row>
    <row r="41" spans="1:13">
      <c r="A41" s="18" t="s">
        <v>250</v>
      </c>
      <c r="B41" s="22">
        <v>2105500</v>
      </c>
      <c r="C41" s="1">
        <v>43922</v>
      </c>
      <c r="D41" s="19">
        <v>8.3333333333333329E-2</v>
      </c>
      <c r="E41" s="22" t="s">
        <v>251</v>
      </c>
      <c r="F41" s="22">
        <v>5610</v>
      </c>
      <c r="G41" s="22" t="s">
        <v>252</v>
      </c>
      <c r="H41" s="22">
        <v>3.83</v>
      </c>
      <c r="I41" s="22" t="s">
        <v>252</v>
      </c>
      <c r="J41" s="22">
        <v>0</v>
      </c>
      <c r="K41" s="22" t="s">
        <v>253</v>
      </c>
      <c r="L41" s="5">
        <f t="shared" si="0"/>
        <v>900.00000000000045</v>
      </c>
      <c r="M41" s="21">
        <f t="shared" si="1"/>
        <v>37769044.500000022</v>
      </c>
    </row>
    <row r="42" spans="1:13">
      <c r="A42" s="18" t="s">
        <v>250</v>
      </c>
      <c r="B42" s="22">
        <v>2105500</v>
      </c>
      <c r="C42" s="1">
        <v>43922</v>
      </c>
      <c r="D42" s="19">
        <v>9.375E-2</v>
      </c>
      <c r="E42" s="22" t="s">
        <v>251</v>
      </c>
      <c r="F42" s="22">
        <v>5610</v>
      </c>
      <c r="G42" s="22" t="s">
        <v>252</v>
      </c>
      <c r="H42" s="22">
        <v>3.83</v>
      </c>
      <c r="I42" s="22" t="s">
        <v>252</v>
      </c>
      <c r="J42" s="22">
        <v>0</v>
      </c>
      <c r="K42" s="22" t="s">
        <v>253</v>
      </c>
      <c r="L42" s="5">
        <f t="shared" si="0"/>
        <v>900.00000000000045</v>
      </c>
      <c r="M42" s="21">
        <f t="shared" si="1"/>
        <v>37769044.500000022</v>
      </c>
    </row>
    <row r="43" spans="1:13">
      <c r="A43" s="18" t="s">
        <v>250</v>
      </c>
      <c r="B43" s="22">
        <v>2105500</v>
      </c>
      <c r="C43" s="1">
        <v>43922</v>
      </c>
      <c r="D43" s="19">
        <v>0.10416666666666667</v>
      </c>
      <c r="E43" s="22" t="s">
        <v>251</v>
      </c>
      <c r="F43" s="22">
        <v>5580</v>
      </c>
      <c r="G43" s="22" t="s">
        <v>252</v>
      </c>
      <c r="H43" s="22">
        <v>3.82</v>
      </c>
      <c r="I43" s="22" t="s">
        <v>252</v>
      </c>
      <c r="J43" s="22">
        <v>0</v>
      </c>
      <c r="K43" s="22" t="s">
        <v>253</v>
      </c>
      <c r="L43" s="5">
        <f t="shared" si="0"/>
        <v>899.9999999999992</v>
      </c>
      <c r="M43" s="21">
        <f t="shared" si="1"/>
        <v>37567070.999999963</v>
      </c>
    </row>
    <row r="44" spans="1:13">
      <c r="A44" s="18" t="s">
        <v>250</v>
      </c>
      <c r="B44" s="22">
        <v>2105500</v>
      </c>
      <c r="C44" s="1">
        <v>43922</v>
      </c>
      <c r="D44" s="19">
        <v>0.11458333333333333</v>
      </c>
      <c r="E44" s="22" t="s">
        <v>251</v>
      </c>
      <c r="F44" s="22">
        <v>5580</v>
      </c>
      <c r="G44" s="22" t="s">
        <v>252</v>
      </c>
      <c r="H44" s="22">
        <v>3.82</v>
      </c>
      <c r="I44" s="22" t="s">
        <v>252</v>
      </c>
      <c r="J44" s="22">
        <v>0</v>
      </c>
      <c r="K44" s="22" t="s">
        <v>253</v>
      </c>
      <c r="L44" s="5">
        <f t="shared" si="0"/>
        <v>900.00000000000045</v>
      </c>
      <c r="M44" s="21">
        <f t="shared" si="1"/>
        <v>37567071.000000022</v>
      </c>
    </row>
    <row r="45" spans="1:13">
      <c r="A45" s="18" t="s">
        <v>250</v>
      </c>
      <c r="B45" s="22">
        <v>2105500</v>
      </c>
      <c r="C45" s="1">
        <v>43922</v>
      </c>
      <c r="D45" s="19">
        <v>0.125</v>
      </c>
      <c r="E45" s="22" t="s">
        <v>251</v>
      </c>
      <c r="F45" s="22">
        <v>5580</v>
      </c>
      <c r="G45" s="22" t="s">
        <v>252</v>
      </c>
      <c r="H45" s="22">
        <v>3.82</v>
      </c>
      <c r="I45" s="22" t="s">
        <v>252</v>
      </c>
      <c r="J45" s="22">
        <v>0</v>
      </c>
      <c r="K45" s="22" t="s">
        <v>253</v>
      </c>
      <c r="L45" s="5">
        <f t="shared" si="0"/>
        <v>899.9999999999992</v>
      </c>
      <c r="M45" s="21">
        <f t="shared" si="1"/>
        <v>37567070.999999963</v>
      </c>
    </row>
    <row r="46" spans="1:13">
      <c r="A46" s="18" t="s">
        <v>250</v>
      </c>
      <c r="B46" s="22">
        <v>2105500</v>
      </c>
      <c r="C46" s="1">
        <v>43922</v>
      </c>
      <c r="D46" s="19">
        <v>0.13541666666666666</v>
      </c>
      <c r="E46" s="22" t="s">
        <v>251</v>
      </c>
      <c r="F46" s="22">
        <v>5580</v>
      </c>
      <c r="G46" s="22" t="s">
        <v>252</v>
      </c>
      <c r="H46" s="22">
        <v>3.82</v>
      </c>
      <c r="I46" s="22" t="s">
        <v>252</v>
      </c>
      <c r="J46" s="22">
        <v>0.01</v>
      </c>
      <c r="K46" s="22" t="s">
        <v>253</v>
      </c>
      <c r="L46" s="5">
        <f t="shared" si="0"/>
        <v>900.00000000000159</v>
      </c>
      <c r="M46" s="21">
        <f t="shared" si="1"/>
        <v>37567071.000000067</v>
      </c>
    </row>
    <row r="47" spans="1:13">
      <c r="A47" s="18" t="s">
        <v>250</v>
      </c>
      <c r="B47" s="22">
        <v>2105500</v>
      </c>
      <c r="C47" s="1">
        <v>43922</v>
      </c>
      <c r="D47" s="19">
        <v>0.14583333333333334</v>
      </c>
      <c r="E47" s="22" t="s">
        <v>251</v>
      </c>
      <c r="F47" s="22">
        <v>5560</v>
      </c>
      <c r="G47" s="22" t="s">
        <v>252</v>
      </c>
      <c r="H47" s="22">
        <v>3.81</v>
      </c>
      <c r="I47" s="22" t="s">
        <v>252</v>
      </c>
      <c r="J47" s="22">
        <v>0</v>
      </c>
      <c r="K47" s="22" t="s">
        <v>253</v>
      </c>
      <c r="L47" s="5">
        <f t="shared" si="0"/>
        <v>899.9999999999992</v>
      </c>
      <c r="M47" s="21">
        <f t="shared" si="1"/>
        <v>37432421.999999963</v>
      </c>
    </row>
    <row r="48" spans="1:13">
      <c r="A48" s="18" t="s">
        <v>250</v>
      </c>
      <c r="B48" s="22">
        <v>2105500</v>
      </c>
      <c r="C48" s="1">
        <v>43922</v>
      </c>
      <c r="D48" s="19">
        <v>0.15625</v>
      </c>
      <c r="E48" s="22" t="s">
        <v>251</v>
      </c>
      <c r="F48" s="22">
        <v>5560</v>
      </c>
      <c r="G48" s="22" t="s">
        <v>252</v>
      </c>
      <c r="H48" s="22">
        <v>3.81</v>
      </c>
      <c r="I48" s="22" t="s">
        <v>252</v>
      </c>
      <c r="J48" s="22">
        <v>0</v>
      </c>
      <c r="K48" s="22" t="s">
        <v>253</v>
      </c>
      <c r="L48" s="5">
        <f t="shared" si="0"/>
        <v>899.9999999999992</v>
      </c>
      <c r="M48" s="21">
        <f t="shared" si="1"/>
        <v>37432421.999999963</v>
      </c>
    </row>
    <row r="49" spans="1:13">
      <c r="A49" s="18" t="s">
        <v>250</v>
      </c>
      <c r="B49" s="22">
        <v>2105500</v>
      </c>
      <c r="C49" s="1">
        <v>43922</v>
      </c>
      <c r="D49" s="19">
        <v>0.16666666666666666</v>
      </c>
      <c r="E49" s="22" t="s">
        <v>251</v>
      </c>
      <c r="F49" s="22">
        <v>5560</v>
      </c>
      <c r="G49" s="22" t="s">
        <v>252</v>
      </c>
      <c r="H49" s="22">
        <v>3.81</v>
      </c>
      <c r="I49" s="22" t="s">
        <v>252</v>
      </c>
      <c r="J49" s="22">
        <v>0</v>
      </c>
      <c r="K49" s="22" t="s">
        <v>253</v>
      </c>
      <c r="L49" s="5">
        <f t="shared" si="0"/>
        <v>900.00000000000159</v>
      </c>
      <c r="M49" s="21">
        <f t="shared" si="1"/>
        <v>37432422.000000067</v>
      </c>
    </row>
    <row r="50" spans="1:13">
      <c r="A50" s="18" t="s">
        <v>250</v>
      </c>
      <c r="B50" s="22">
        <v>2105500</v>
      </c>
      <c r="C50" s="1">
        <v>43922</v>
      </c>
      <c r="D50" s="19">
        <v>0.17708333333333334</v>
      </c>
      <c r="E50" s="22" t="s">
        <v>251</v>
      </c>
      <c r="F50" s="22">
        <v>5530</v>
      </c>
      <c r="G50" s="22" t="s">
        <v>252</v>
      </c>
      <c r="H50" s="22">
        <v>3.8</v>
      </c>
      <c r="I50" s="22" t="s">
        <v>252</v>
      </c>
      <c r="J50" s="22">
        <v>0</v>
      </c>
      <c r="K50" s="22" t="s">
        <v>253</v>
      </c>
      <c r="L50" s="5">
        <f t="shared" si="0"/>
        <v>899.9999999999992</v>
      </c>
      <c r="M50" s="21">
        <f t="shared" si="1"/>
        <v>37230448.499999963</v>
      </c>
    </row>
    <row r="51" spans="1:13">
      <c r="A51" s="18" t="s">
        <v>250</v>
      </c>
      <c r="B51" s="22">
        <v>2105500</v>
      </c>
      <c r="C51" s="1">
        <v>43922</v>
      </c>
      <c r="D51" s="19">
        <v>0.1875</v>
      </c>
      <c r="E51" s="22" t="s">
        <v>251</v>
      </c>
      <c r="F51" s="22">
        <v>5530</v>
      </c>
      <c r="G51" s="22" t="s">
        <v>252</v>
      </c>
      <c r="H51" s="22">
        <v>3.8</v>
      </c>
      <c r="I51" s="22" t="s">
        <v>252</v>
      </c>
      <c r="J51" s="22">
        <v>0</v>
      </c>
      <c r="K51" s="22" t="s">
        <v>253</v>
      </c>
      <c r="L51" s="5">
        <f t="shared" si="0"/>
        <v>899.9999999999992</v>
      </c>
      <c r="M51" s="21">
        <f t="shared" si="1"/>
        <v>37230448.499999963</v>
      </c>
    </row>
    <row r="52" spans="1:13">
      <c r="A52" s="18" t="s">
        <v>250</v>
      </c>
      <c r="B52" s="22">
        <v>2105500</v>
      </c>
      <c r="C52" s="1">
        <v>43922</v>
      </c>
      <c r="D52" s="19">
        <v>0.19791666666666666</v>
      </c>
      <c r="E52" s="22" t="s">
        <v>251</v>
      </c>
      <c r="F52" s="22">
        <v>5530</v>
      </c>
      <c r="G52" s="22" t="s">
        <v>252</v>
      </c>
      <c r="H52" s="22">
        <v>3.8</v>
      </c>
      <c r="I52" s="22" t="s">
        <v>252</v>
      </c>
      <c r="J52" s="22">
        <v>0</v>
      </c>
      <c r="K52" s="22" t="s">
        <v>253</v>
      </c>
      <c r="L52" s="5">
        <f t="shared" si="0"/>
        <v>900.00000000000159</v>
      </c>
      <c r="M52" s="21">
        <f t="shared" si="1"/>
        <v>37230448.500000067</v>
      </c>
    </row>
    <row r="53" spans="1:13">
      <c r="A53" s="18" t="s">
        <v>250</v>
      </c>
      <c r="B53" s="22">
        <v>2105500</v>
      </c>
      <c r="C53" s="1">
        <v>43922</v>
      </c>
      <c r="D53" s="19">
        <v>0.20833333333333334</v>
      </c>
      <c r="E53" s="22" t="s">
        <v>251</v>
      </c>
      <c r="F53" s="22">
        <v>5530</v>
      </c>
      <c r="G53" s="22" t="s">
        <v>252</v>
      </c>
      <c r="H53" s="22">
        <v>3.8</v>
      </c>
      <c r="I53" s="22" t="s">
        <v>252</v>
      </c>
      <c r="J53" s="22">
        <v>0</v>
      </c>
      <c r="K53" s="22" t="s">
        <v>253</v>
      </c>
      <c r="L53" s="5">
        <f t="shared" si="0"/>
        <v>899.9999999999992</v>
      </c>
      <c r="M53" s="21">
        <f t="shared" si="1"/>
        <v>37230448.499999963</v>
      </c>
    </row>
    <row r="54" spans="1:13">
      <c r="A54" s="18" t="s">
        <v>250</v>
      </c>
      <c r="B54" s="22">
        <v>2105500</v>
      </c>
      <c r="C54" s="1">
        <v>43922</v>
      </c>
      <c r="D54" s="19">
        <v>0.21875</v>
      </c>
      <c r="E54" s="22" t="s">
        <v>251</v>
      </c>
      <c r="F54" s="22">
        <v>5530</v>
      </c>
      <c r="G54" s="22" t="s">
        <v>252</v>
      </c>
      <c r="H54" s="22">
        <v>3.8</v>
      </c>
      <c r="I54" s="22" t="s">
        <v>252</v>
      </c>
      <c r="J54" s="22">
        <v>0</v>
      </c>
      <c r="K54" s="22" t="s">
        <v>253</v>
      </c>
      <c r="L54" s="5">
        <f t="shared" si="0"/>
        <v>899.9999999999992</v>
      </c>
      <c r="M54" s="21">
        <f t="shared" si="1"/>
        <v>37230448.499999963</v>
      </c>
    </row>
    <row r="55" spans="1:13">
      <c r="A55" s="18" t="s">
        <v>250</v>
      </c>
      <c r="B55" s="22">
        <v>2105500</v>
      </c>
      <c r="C55" s="1">
        <v>43922</v>
      </c>
      <c r="D55" s="19">
        <v>0.22916666666666666</v>
      </c>
      <c r="E55" s="22" t="s">
        <v>251</v>
      </c>
      <c r="F55" s="22">
        <v>5530</v>
      </c>
      <c r="G55" s="22" t="s">
        <v>252</v>
      </c>
      <c r="H55" s="22">
        <v>3.8</v>
      </c>
      <c r="I55" s="22" t="s">
        <v>252</v>
      </c>
      <c r="J55" s="22">
        <v>0</v>
      </c>
      <c r="K55" s="22" t="s">
        <v>253</v>
      </c>
      <c r="L55" s="5">
        <f t="shared" si="0"/>
        <v>900.00000000000159</v>
      </c>
      <c r="M55" s="21">
        <f t="shared" si="1"/>
        <v>37230448.500000067</v>
      </c>
    </row>
    <row r="56" spans="1:13">
      <c r="A56" s="18" t="s">
        <v>250</v>
      </c>
      <c r="B56" s="22">
        <v>2105500</v>
      </c>
      <c r="C56" s="1">
        <v>43922</v>
      </c>
      <c r="D56" s="19">
        <v>0.23958333333333334</v>
      </c>
      <c r="E56" s="22" t="s">
        <v>251</v>
      </c>
      <c r="F56" s="22">
        <v>5500</v>
      </c>
      <c r="G56" s="22" t="s">
        <v>252</v>
      </c>
      <c r="H56" s="22">
        <v>3.79</v>
      </c>
      <c r="I56" s="22" t="s">
        <v>252</v>
      </c>
      <c r="J56" s="22">
        <v>0</v>
      </c>
      <c r="K56" s="22" t="s">
        <v>253</v>
      </c>
      <c r="L56" s="5">
        <f t="shared" si="0"/>
        <v>899.9999999999992</v>
      </c>
      <c r="M56" s="21">
        <f t="shared" si="1"/>
        <v>37028474.999999963</v>
      </c>
    </row>
    <row r="57" spans="1:13">
      <c r="A57" s="18" t="s">
        <v>250</v>
      </c>
      <c r="B57" s="22">
        <v>2105500</v>
      </c>
      <c r="C57" s="1">
        <v>43922</v>
      </c>
      <c r="D57" s="19">
        <v>0.25</v>
      </c>
      <c r="E57" s="22" t="s">
        <v>251</v>
      </c>
      <c r="F57" s="22">
        <v>5480</v>
      </c>
      <c r="G57" s="22" t="s">
        <v>252</v>
      </c>
      <c r="H57" s="22">
        <v>3.78</v>
      </c>
      <c r="I57" s="22" t="s">
        <v>252</v>
      </c>
      <c r="J57" s="22">
        <v>0</v>
      </c>
      <c r="K57" s="22" t="s">
        <v>253</v>
      </c>
      <c r="L57" s="5">
        <f t="shared" si="0"/>
        <v>900.00000000000159</v>
      </c>
      <c r="M57" s="21">
        <f t="shared" si="1"/>
        <v>36893826.000000067</v>
      </c>
    </row>
    <row r="58" spans="1:13">
      <c r="A58" s="18" t="s">
        <v>250</v>
      </c>
      <c r="B58" s="22">
        <v>2105500</v>
      </c>
      <c r="C58" s="1">
        <v>43922</v>
      </c>
      <c r="D58" s="19">
        <v>0.26041666666666669</v>
      </c>
      <c r="E58" s="22" t="s">
        <v>251</v>
      </c>
      <c r="F58" s="22">
        <v>5500</v>
      </c>
      <c r="G58" s="22" t="s">
        <v>252</v>
      </c>
      <c r="H58" s="22">
        <v>3.79</v>
      </c>
      <c r="I58" s="22" t="s">
        <v>252</v>
      </c>
      <c r="J58" s="22">
        <v>0</v>
      </c>
      <c r="K58" s="22" t="s">
        <v>253</v>
      </c>
      <c r="L58" s="5">
        <f t="shared" si="0"/>
        <v>899.99999999999682</v>
      </c>
      <c r="M58" s="21">
        <f t="shared" si="1"/>
        <v>37028474.999999866</v>
      </c>
    </row>
    <row r="59" spans="1:13">
      <c r="A59" s="18" t="s">
        <v>250</v>
      </c>
      <c r="B59" s="22">
        <v>2105500</v>
      </c>
      <c r="C59" s="1">
        <v>43922</v>
      </c>
      <c r="D59" s="19">
        <v>0.27083333333333331</v>
      </c>
      <c r="E59" s="22" t="s">
        <v>251</v>
      </c>
      <c r="F59" s="22">
        <v>5480</v>
      </c>
      <c r="G59" s="22" t="s">
        <v>252</v>
      </c>
      <c r="H59" s="22">
        <v>3.78</v>
      </c>
      <c r="I59" s="22" t="s">
        <v>252</v>
      </c>
      <c r="J59" s="22">
        <v>0</v>
      </c>
      <c r="K59" s="22" t="s">
        <v>253</v>
      </c>
      <c r="L59" s="5">
        <f t="shared" si="0"/>
        <v>900.00000000000159</v>
      </c>
      <c r="M59" s="21">
        <f t="shared" si="1"/>
        <v>36893826.000000067</v>
      </c>
    </row>
    <row r="60" spans="1:13">
      <c r="A60" s="18" t="s">
        <v>250</v>
      </c>
      <c r="B60" s="22">
        <v>2105500</v>
      </c>
      <c r="C60" s="1">
        <v>43922</v>
      </c>
      <c r="D60" s="19">
        <v>0.28125</v>
      </c>
      <c r="E60" s="22" t="s">
        <v>251</v>
      </c>
      <c r="F60" s="22">
        <v>5480</v>
      </c>
      <c r="G60" s="22" t="s">
        <v>252</v>
      </c>
      <c r="H60" s="22">
        <v>3.78</v>
      </c>
      <c r="I60" s="22" t="s">
        <v>252</v>
      </c>
      <c r="J60" s="22">
        <v>0</v>
      </c>
      <c r="K60" s="22" t="s">
        <v>253</v>
      </c>
      <c r="L60" s="5">
        <f t="shared" si="0"/>
        <v>900.00000000000159</v>
      </c>
      <c r="M60" s="21">
        <f t="shared" si="1"/>
        <v>36893826.000000067</v>
      </c>
    </row>
    <row r="61" spans="1:13">
      <c r="A61" s="18" t="s">
        <v>250</v>
      </c>
      <c r="B61" s="22">
        <v>2105500</v>
      </c>
      <c r="C61" s="1">
        <v>43922</v>
      </c>
      <c r="D61" s="19">
        <v>0.29166666666666669</v>
      </c>
      <c r="E61" s="22" t="s">
        <v>251</v>
      </c>
      <c r="F61" s="22">
        <v>5480</v>
      </c>
      <c r="G61" s="22" t="s">
        <v>252</v>
      </c>
      <c r="H61" s="22">
        <v>3.78</v>
      </c>
      <c r="I61" s="22" t="s">
        <v>252</v>
      </c>
      <c r="J61" s="22">
        <v>0</v>
      </c>
      <c r="K61" s="22" t="s">
        <v>253</v>
      </c>
      <c r="L61" s="5">
        <f t="shared" si="0"/>
        <v>899.99999999999682</v>
      </c>
      <c r="M61" s="21">
        <f t="shared" si="1"/>
        <v>36893825.999999866</v>
      </c>
    </row>
    <row r="62" spans="1:13">
      <c r="A62" s="18" t="s">
        <v>250</v>
      </c>
      <c r="B62" s="22">
        <v>2105500</v>
      </c>
      <c r="C62" s="1">
        <v>43922</v>
      </c>
      <c r="D62" s="19">
        <v>0.30208333333333331</v>
      </c>
      <c r="E62" s="22" t="s">
        <v>251</v>
      </c>
      <c r="F62" s="22">
        <v>5480</v>
      </c>
      <c r="G62" s="22" t="s">
        <v>252</v>
      </c>
      <c r="H62" s="22">
        <v>3.78</v>
      </c>
      <c r="I62" s="22" t="s">
        <v>252</v>
      </c>
      <c r="J62" s="22">
        <v>0</v>
      </c>
      <c r="K62" s="22" t="s">
        <v>253</v>
      </c>
      <c r="L62" s="5">
        <f t="shared" si="0"/>
        <v>900.00000000000159</v>
      </c>
      <c r="M62" s="21">
        <f t="shared" si="1"/>
        <v>36893826.000000067</v>
      </c>
    </row>
    <row r="63" spans="1:13">
      <c r="A63" s="18" t="s">
        <v>250</v>
      </c>
      <c r="B63" s="22">
        <v>2105500</v>
      </c>
      <c r="C63" s="1">
        <v>43922</v>
      </c>
      <c r="D63" s="19">
        <v>0.3125</v>
      </c>
      <c r="E63" s="22" t="s">
        <v>251</v>
      </c>
      <c r="F63" s="22">
        <v>5480</v>
      </c>
      <c r="G63" s="22" t="s">
        <v>252</v>
      </c>
      <c r="H63" s="22">
        <v>3.78</v>
      </c>
      <c r="I63" s="22" t="s">
        <v>252</v>
      </c>
      <c r="J63" s="22">
        <v>0</v>
      </c>
      <c r="K63" s="22" t="s">
        <v>253</v>
      </c>
      <c r="L63" s="5">
        <f t="shared" si="0"/>
        <v>900.00000000000159</v>
      </c>
      <c r="M63" s="21">
        <f t="shared" si="1"/>
        <v>36893826.000000067</v>
      </c>
    </row>
    <row r="64" spans="1:13">
      <c r="A64" s="18" t="s">
        <v>250</v>
      </c>
      <c r="B64" s="22">
        <v>2105500</v>
      </c>
      <c r="C64" s="1">
        <v>43922</v>
      </c>
      <c r="D64" s="19">
        <v>0.32291666666666669</v>
      </c>
      <c r="E64" s="22" t="s">
        <v>251</v>
      </c>
      <c r="F64" s="22">
        <v>5450</v>
      </c>
      <c r="G64" s="22" t="s">
        <v>252</v>
      </c>
      <c r="H64" s="22">
        <v>3.77</v>
      </c>
      <c r="I64" s="22" t="s">
        <v>252</v>
      </c>
      <c r="J64" s="22">
        <v>0</v>
      </c>
      <c r="K64" s="22" t="s">
        <v>253</v>
      </c>
      <c r="L64" s="5">
        <f t="shared" si="0"/>
        <v>899.99999999999682</v>
      </c>
      <c r="M64" s="21">
        <f t="shared" si="1"/>
        <v>36691852.499999866</v>
      </c>
    </row>
    <row r="65" spans="1:13">
      <c r="A65" s="18" t="s">
        <v>250</v>
      </c>
      <c r="B65" s="22">
        <v>2105500</v>
      </c>
      <c r="C65" s="1">
        <v>43922</v>
      </c>
      <c r="D65" s="19">
        <v>0.33333333333333331</v>
      </c>
      <c r="E65" s="22" t="s">
        <v>251</v>
      </c>
      <c r="F65" s="22">
        <v>5480</v>
      </c>
      <c r="G65" s="22" t="s">
        <v>252</v>
      </c>
      <c r="H65" s="22">
        <v>3.78</v>
      </c>
      <c r="I65" s="22" t="s">
        <v>252</v>
      </c>
      <c r="J65" s="22">
        <v>0</v>
      </c>
      <c r="K65" s="22" t="s">
        <v>253</v>
      </c>
      <c r="L65" s="5">
        <f t="shared" si="0"/>
        <v>900.00000000000159</v>
      </c>
      <c r="M65" s="21">
        <f t="shared" si="1"/>
        <v>36893826.000000067</v>
      </c>
    </row>
    <row r="66" spans="1:13">
      <c r="A66" s="18" t="s">
        <v>250</v>
      </c>
      <c r="B66" s="22">
        <v>2105500</v>
      </c>
      <c r="C66" s="1">
        <v>43922</v>
      </c>
      <c r="D66" s="19">
        <v>0.34375</v>
      </c>
      <c r="E66" s="22" t="s">
        <v>251</v>
      </c>
      <c r="F66" s="22">
        <v>5450</v>
      </c>
      <c r="G66" s="22" t="s">
        <v>252</v>
      </c>
      <c r="H66" s="22">
        <v>3.77</v>
      </c>
      <c r="I66" s="22" t="s">
        <v>252</v>
      </c>
      <c r="J66" s="22">
        <v>0</v>
      </c>
      <c r="K66" s="22" t="s">
        <v>253</v>
      </c>
      <c r="L66" s="5">
        <f t="shared" si="0"/>
        <v>900.00000000000159</v>
      </c>
      <c r="M66" s="21">
        <f t="shared" si="1"/>
        <v>36691852.500000067</v>
      </c>
    </row>
    <row r="67" spans="1:13">
      <c r="A67" s="18" t="s">
        <v>250</v>
      </c>
      <c r="B67" s="22">
        <v>2105500</v>
      </c>
      <c r="C67" s="1">
        <v>43922</v>
      </c>
      <c r="D67" s="19">
        <v>0.35416666666666669</v>
      </c>
      <c r="E67" s="22" t="s">
        <v>251</v>
      </c>
      <c r="F67" s="22">
        <v>5450</v>
      </c>
      <c r="G67" s="22" t="s">
        <v>252</v>
      </c>
      <c r="H67" s="22">
        <v>3.77</v>
      </c>
      <c r="I67" s="22" t="s">
        <v>252</v>
      </c>
      <c r="J67" s="22">
        <v>0</v>
      </c>
      <c r="K67" s="22" t="s">
        <v>253</v>
      </c>
      <c r="L67" s="5">
        <f t="shared" si="0"/>
        <v>899.99999999999682</v>
      </c>
      <c r="M67" s="21">
        <f t="shared" si="1"/>
        <v>36691852.499999866</v>
      </c>
    </row>
    <row r="68" spans="1:13">
      <c r="A68" s="18" t="s">
        <v>250</v>
      </c>
      <c r="B68" s="22">
        <v>2105500</v>
      </c>
      <c r="C68" s="1">
        <v>43922</v>
      </c>
      <c r="D68" s="19">
        <v>0.36458333333333331</v>
      </c>
      <c r="E68" s="22" t="s">
        <v>251</v>
      </c>
      <c r="F68" s="22">
        <v>5450</v>
      </c>
      <c r="G68" s="22" t="s">
        <v>252</v>
      </c>
      <c r="H68" s="22">
        <v>3.77</v>
      </c>
      <c r="I68" s="22" t="s">
        <v>252</v>
      </c>
      <c r="J68" s="22">
        <v>0</v>
      </c>
      <c r="K68" s="22" t="s">
        <v>253</v>
      </c>
      <c r="L68" s="5">
        <f t="shared" si="0"/>
        <v>900.00000000000159</v>
      </c>
      <c r="M68" s="21">
        <f t="shared" si="1"/>
        <v>36691852.500000067</v>
      </c>
    </row>
    <row r="69" spans="1:13">
      <c r="A69" s="18" t="s">
        <v>250</v>
      </c>
      <c r="B69" s="22">
        <v>2105500</v>
      </c>
      <c r="C69" s="1">
        <v>43922</v>
      </c>
      <c r="D69" s="19">
        <v>0.375</v>
      </c>
      <c r="E69" s="22" t="s">
        <v>251</v>
      </c>
      <c r="F69" s="22">
        <v>5450</v>
      </c>
      <c r="G69" s="22" t="s">
        <v>252</v>
      </c>
      <c r="H69" s="22">
        <v>3.77</v>
      </c>
      <c r="I69" s="22" t="s">
        <v>252</v>
      </c>
      <c r="J69" s="22">
        <v>0</v>
      </c>
      <c r="K69" s="22" t="s">
        <v>253</v>
      </c>
      <c r="L69" s="5">
        <f t="shared" si="0"/>
        <v>900.00000000000159</v>
      </c>
      <c r="M69" s="21">
        <f t="shared" si="1"/>
        <v>36691852.500000067</v>
      </c>
    </row>
    <row r="70" spans="1:13">
      <c r="A70" s="18" t="s">
        <v>250</v>
      </c>
      <c r="B70" s="22">
        <v>2105500</v>
      </c>
      <c r="C70" s="1">
        <v>43922</v>
      </c>
      <c r="D70" s="19">
        <v>0.38541666666666669</v>
      </c>
      <c r="E70" s="22" t="s">
        <v>251</v>
      </c>
      <c r="F70" s="22">
        <v>5420</v>
      </c>
      <c r="G70" s="22" t="s">
        <v>252</v>
      </c>
      <c r="H70" s="22">
        <v>3.76</v>
      </c>
      <c r="I70" s="22" t="s">
        <v>252</v>
      </c>
      <c r="J70" s="22">
        <v>0</v>
      </c>
      <c r="K70" s="22" t="s">
        <v>253</v>
      </c>
      <c r="L70" s="5">
        <f t="shared" si="0"/>
        <v>899.99999999999682</v>
      </c>
      <c r="M70" s="21">
        <f t="shared" si="1"/>
        <v>36489878.999999866</v>
      </c>
    </row>
    <row r="71" spans="1:13">
      <c r="A71" s="18" t="s">
        <v>250</v>
      </c>
      <c r="B71" s="22">
        <v>2105500</v>
      </c>
      <c r="C71" s="1">
        <v>43922</v>
      </c>
      <c r="D71" s="19">
        <v>0.39583333333333331</v>
      </c>
      <c r="E71" s="22" t="s">
        <v>251</v>
      </c>
      <c r="F71" s="22">
        <v>5420</v>
      </c>
      <c r="G71" s="22" t="s">
        <v>252</v>
      </c>
      <c r="H71" s="22">
        <v>3.76</v>
      </c>
      <c r="I71" s="22" t="s">
        <v>252</v>
      </c>
      <c r="J71" s="22">
        <v>0</v>
      </c>
      <c r="K71" s="22" t="s">
        <v>253</v>
      </c>
      <c r="L71" s="5">
        <f t="shared" si="0"/>
        <v>900.00000000000159</v>
      </c>
      <c r="M71" s="21">
        <f t="shared" si="1"/>
        <v>36489879.000000067</v>
      </c>
    </row>
    <row r="72" spans="1:13">
      <c r="A72" s="18" t="s">
        <v>250</v>
      </c>
      <c r="B72" s="22">
        <v>2105500</v>
      </c>
      <c r="C72" s="1">
        <v>43922</v>
      </c>
      <c r="D72" s="19">
        <v>0.40625</v>
      </c>
      <c r="E72" s="22" t="s">
        <v>251</v>
      </c>
      <c r="F72" s="22">
        <v>5450</v>
      </c>
      <c r="G72" s="22" t="s">
        <v>252</v>
      </c>
      <c r="H72" s="22">
        <v>3.77</v>
      </c>
      <c r="I72" s="22" t="s">
        <v>252</v>
      </c>
      <c r="J72" s="22">
        <v>0</v>
      </c>
      <c r="K72" s="22" t="s">
        <v>253</v>
      </c>
      <c r="L72" s="5">
        <f t="shared" si="0"/>
        <v>900.00000000000159</v>
      </c>
      <c r="M72" s="21">
        <f t="shared" si="1"/>
        <v>36691852.500000067</v>
      </c>
    </row>
    <row r="73" spans="1:13">
      <c r="A73" s="18" t="s">
        <v>250</v>
      </c>
      <c r="B73" s="22">
        <v>2105500</v>
      </c>
      <c r="C73" s="1">
        <v>43922</v>
      </c>
      <c r="D73" s="19">
        <v>0.41666666666666669</v>
      </c>
      <c r="E73" s="22" t="s">
        <v>251</v>
      </c>
      <c r="F73" s="22">
        <v>5420</v>
      </c>
      <c r="G73" s="22" t="s">
        <v>252</v>
      </c>
      <c r="H73" s="22">
        <v>3.76</v>
      </c>
      <c r="I73" s="22" t="s">
        <v>252</v>
      </c>
      <c r="J73" s="22">
        <v>0</v>
      </c>
      <c r="K73" s="22" t="s">
        <v>253</v>
      </c>
      <c r="L73" s="5">
        <f t="shared" si="0"/>
        <v>899.99999999999682</v>
      </c>
      <c r="M73" s="21">
        <f t="shared" si="1"/>
        <v>36489878.999999866</v>
      </c>
    </row>
    <row r="74" spans="1:13">
      <c r="A74" s="18" t="s">
        <v>250</v>
      </c>
      <c r="B74" s="22">
        <v>2105500</v>
      </c>
      <c r="C74" s="1">
        <v>43922</v>
      </c>
      <c r="D74" s="19">
        <v>0.42708333333333331</v>
      </c>
      <c r="E74" s="22" t="s">
        <v>251</v>
      </c>
      <c r="F74" s="22">
        <v>5420</v>
      </c>
      <c r="G74" s="22" t="s">
        <v>252</v>
      </c>
      <c r="H74" s="22">
        <v>3.76</v>
      </c>
      <c r="I74" s="22" t="s">
        <v>252</v>
      </c>
      <c r="J74" s="22">
        <v>0</v>
      </c>
      <c r="K74" s="22" t="s">
        <v>253</v>
      </c>
      <c r="L74" s="5">
        <f t="shared" si="0"/>
        <v>900.00000000000159</v>
      </c>
      <c r="M74" s="21">
        <f t="shared" si="1"/>
        <v>36489879.000000067</v>
      </c>
    </row>
    <row r="75" spans="1:13">
      <c r="A75" s="18" t="s">
        <v>250</v>
      </c>
      <c r="B75" s="22">
        <v>2105500</v>
      </c>
      <c r="C75" s="1">
        <v>43922</v>
      </c>
      <c r="D75" s="19">
        <v>0.4375</v>
      </c>
      <c r="E75" s="22" t="s">
        <v>251</v>
      </c>
      <c r="F75" s="22">
        <v>5420</v>
      </c>
      <c r="G75" s="22" t="s">
        <v>252</v>
      </c>
      <c r="H75" s="22">
        <v>3.76</v>
      </c>
      <c r="I75" s="22" t="s">
        <v>252</v>
      </c>
      <c r="J75" s="22">
        <v>0</v>
      </c>
      <c r="K75" s="22" t="s">
        <v>253</v>
      </c>
      <c r="L75" s="5">
        <f t="shared" si="0"/>
        <v>900.00000000000159</v>
      </c>
      <c r="M75" s="21">
        <f t="shared" si="1"/>
        <v>36489879.000000067</v>
      </c>
    </row>
    <row r="76" spans="1:13">
      <c r="A76" s="18" t="s">
        <v>250</v>
      </c>
      <c r="B76" s="22">
        <v>2105500</v>
      </c>
      <c r="C76" s="1">
        <v>43922</v>
      </c>
      <c r="D76" s="19">
        <v>0.44791666666666669</v>
      </c>
      <c r="E76" s="22" t="s">
        <v>251</v>
      </c>
      <c r="F76" s="22">
        <v>5420</v>
      </c>
      <c r="G76" s="22" t="s">
        <v>252</v>
      </c>
      <c r="H76" s="22">
        <v>3.76</v>
      </c>
      <c r="I76" s="22" t="s">
        <v>252</v>
      </c>
      <c r="J76" s="22">
        <v>0</v>
      </c>
      <c r="K76" s="22" t="s">
        <v>253</v>
      </c>
      <c r="L76" s="5">
        <f t="shared" si="0"/>
        <v>899.99999999999682</v>
      </c>
      <c r="M76" s="21">
        <f t="shared" si="1"/>
        <v>36489878.999999866</v>
      </c>
    </row>
    <row r="77" spans="1:13">
      <c r="A77" s="18" t="s">
        <v>250</v>
      </c>
      <c r="B77" s="22">
        <v>2105500</v>
      </c>
      <c r="C77" s="1">
        <v>43922</v>
      </c>
      <c r="D77" s="19">
        <v>0.45833333333333331</v>
      </c>
      <c r="E77" s="22" t="s">
        <v>251</v>
      </c>
      <c r="F77" s="22">
        <v>5420</v>
      </c>
      <c r="G77" s="22" t="s">
        <v>252</v>
      </c>
      <c r="H77" s="22">
        <v>3.76</v>
      </c>
      <c r="I77" s="22" t="s">
        <v>252</v>
      </c>
      <c r="J77" s="22">
        <v>0</v>
      </c>
      <c r="K77" s="22" t="s">
        <v>253</v>
      </c>
      <c r="L77" s="5">
        <f t="shared" si="0"/>
        <v>900.00000000000159</v>
      </c>
      <c r="M77" s="21">
        <f t="shared" si="1"/>
        <v>36489879.000000067</v>
      </c>
    </row>
    <row r="78" spans="1:13">
      <c r="A78" s="18" t="s">
        <v>250</v>
      </c>
      <c r="B78" s="22">
        <v>2105500</v>
      </c>
      <c r="C78" s="1">
        <v>43922</v>
      </c>
      <c r="D78" s="19">
        <v>0.46875</v>
      </c>
      <c r="E78" s="22" t="s">
        <v>251</v>
      </c>
      <c r="F78" s="22">
        <v>5450</v>
      </c>
      <c r="G78" s="22" t="s">
        <v>252</v>
      </c>
      <c r="H78" s="22">
        <v>3.77</v>
      </c>
      <c r="I78" s="22" t="s">
        <v>252</v>
      </c>
      <c r="J78" s="22">
        <v>0</v>
      </c>
      <c r="K78" s="22" t="s">
        <v>253</v>
      </c>
      <c r="L78" s="5">
        <f t="shared" si="0"/>
        <v>900.00000000000159</v>
      </c>
      <c r="M78" s="21">
        <f t="shared" si="1"/>
        <v>36691852.500000067</v>
      </c>
    </row>
    <row r="79" spans="1:13">
      <c r="A79" s="18" t="s">
        <v>250</v>
      </c>
      <c r="B79" s="22">
        <v>2105500</v>
      </c>
      <c r="C79" s="1">
        <v>43922</v>
      </c>
      <c r="D79" s="19">
        <v>0.47916666666666669</v>
      </c>
      <c r="E79" s="22" t="s">
        <v>251</v>
      </c>
      <c r="F79" s="22">
        <v>5400</v>
      </c>
      <c r="G79" s="22" t="s">
        <v>252</v>
      </c>
      <c r="H79" s="22">
        <v>3.75</v>
      </c>
      <c r="I79" s="22" t="s">
        <v>252</v>
      </c>
      <c r="J79" s="22">
        <v>0</v>
      </c>
      <c r="K79" s="22" t="s">
        <v>253</v>
      </c>
      <c r="L79" s="5">
        <f t="shared" si="0"/>
        <v>899.99999999999682</v>
      </c>
      <c r="M79" s="21">
        <f t="shared" si="1"/>
        <v>36355229.999999873</v>
      </c>
    </row>
    <row r="80" spans="1:13">
      <c r="A80" s="18" t="s">
        <v>250</v>
      </c>
      <c r="B80" s="22">
        <v>2105500</v>
      </c>
      <c r="C80" s="1">
        <v>43922</v>
      </c>
      <c r="D80" s="19">
        <v>0.48958333333333331</v>
      </c>
      <c r="E80" s="22" t="s">
        <v>251</v>
      </c>
      <c r="F80" s="22">
        <v>5420</v>
      </c>
      <c r="G80" s="22" t="s">
        <v>252</v>
      </c>
      <c r="H80" s="22">
        <v>3.76</v>
      </c>
      <c r="I80" s="22" t="s">
        <v>252</v>
      </c>
      <c r="J80" s="22">
        <v>0</v>
      </c>
      <c r="K80" s="22" t="s">
        <v>253</v>
      </c>
      <c r="L80" s="5">
        <f t="shared" si="0"/>
        <v>900.00000000000159</v>
      </c>
      <c r="M80" s="21">
        <f t="shared" si="1"/>
        <v>36489879.000000067</v>
      </c>
    </row>
    <row r="81" spans="1:13">
      <c r="A81" s="18" t="s">
        <v>250</v>
      </c>
      <c r="B81" s="22">
        <v>2105500</v>
      </c>
      <c r="C81" s="1">
        <v>43922</v>
      </c>
      <c r="D81" s="19">
        <v>0.5</v>
      </c>
      <c r="E81" s="22" t="s">
        <v>251</v>
      </c>
      <c r="F81" s="22">
        <v>5420</v>
      </c>
      <c r="G81" s="22" t="s">
        <v>252</v>
      </c>
      <c r="H81" s="22">
        <v>3.76</v>
      </c>
      <c r="I81" s="22" t="s">
        <v>252</v>
      </c>
      <c r="J81" s="22">
        <v>0</v>
      </c>
      <c r="K81" s="22" t="s">
        <v>253</v>
      </c>
      <c r="L81" s="5">
        <f t="shared" si="0"/>
        <v>899.99999999999682</v>
      </c>
      <c r="M81" s="21">
        <f t="shared" si="1"/>
        <v>36489878.999999866</v>
      </c>
    </row>
    <row r="82" spans="1:13">
      <c r="A82" s="18" t="s">
        <v>250</v>
      </c>
      <c r="B82" s="22">
        <v>2105500</v>
      </c>
      <c r="C82" s="1">
        <v>43922</v>
      </c>
      <c r="D82" s="19">
        <v>0.51041666666666663</v>
      </c>
      <c r="E82" s="22" t="s">
        <v>251</v>
      </c>
      <c r="F82" s="22">
        <v>5420</v>
      </c>
      <c r="G82" s="22" t="s">
        <v>252</v>
      </c>
      <c r="H82" s="22">
        <v>3.76</v>
      </c>
      <c r="I82" s="22" t="s">
        <v>252</v>
      </c>
      <c r="J82" s="22">
        <v>0</v>
      </c>
      <c r="K82" s="22" t="s">
        <v>253</v>
      </c>
      <c r="L82" s="5">
        <f t="shared" si="0"/>
        <v>900.00000000000637</v>
      </c>
      <c r="M82" s="21">
        <f t="shared" si="1"/>
        <v>36489879.000000261</v>
      </c>
    </row>
    <row r="83" spans="1:13">
      <c r="A83" s="18" t="s">
        <v>250</v>
      </c>
      <c r="B83" s="22">
        <v>2105500</v>
      </c>
      <c r="C83" s="1">
        <v>43922</v>
      </c>
      <c r="D83" s="19">
        <v>0.52083333333333337</v>
      </c>
      <c r="E83" s="22" t="s">
        <v>251</v>
      </c>
      <c r="F83" s="22">
        <v>5400</v>
      </c>
      <c r="G83" s="22" t="s">
        <v>252</v>
      </c>
      <c r="H83" s="22">
        <v>3.75</v>
      </c>
      <c r="I83" s="22" t="s">
        <v>252</v>
      </c>
      <c r="J83" s="22">
        <v>0</v>
      </c>
      <c r="K83" s="22" t="s">
        <v>253</v>
      </c>
      <c r="L83" s="5">
        <f t="shared" si="0"/>
        <v>899.99999999999682</v>
      </c>
      <c r="M83" s="21">
        <f t="shared" si="1"/>
        <v>36355229.999999873</v>
      </c>
    </row>
    <row r="84" spans="1:13">
      <c r="A84" s="18" t="s">
        <v>250</v>
      </c>
      <c r="B84" s="22">
        <v>2105500</v>
      </c>
      <c r="C84" s="1">
        <v>43922</v>
      </c>
      <c r="D84" s="19">
        <v>0.53125</v>
      </c>
      <c r="E84" s="22" t="s">
        <v>251</v>
      </c>
      <c r="F84" s="22">
        <v>5400</v>
      </c>
      <c r="G84" s="22" t="s">
        <v>252</v>
      </c>
      <c r="H84" s="22">
        <v>3.75</v>
      </c>
      <c r="I84" s="22" t="s">
        <v>252</v>
      </c>
      <c r="J84" s="22">
        <v>0</v>
      </c>
      <c r="K84" s="22" t="s">
        <v>253</v>
      </c>
      <c r="L84" s="5">
        <f t="shared" si="0"/>
        <v>899.99999999999682</v>
      </c>
      <c r="M84" s="21">
        <f t="shared" si="1"/>
        <v>36355229.999999873</v>
      </c>
    </row>
    <row r="85" spans="1:13">
      <c r="A85" s="18" t="s">
        <v>250</v>
      </c>
      <c r="B85" s="22">
        <v>2105500</v>
      </c>
      <c r="C85" s="1">
        <v>43922</v>
      </c>
      <c r="D85" s="19">
        <v>0.54166666666666663</v>
      </c>
      <c r="E85" s="22" t="s">
        <v>251</v>
      </c>
      <c r="F85" s="22">
        <v>5400</v>
      </c>
      <c r="G85" s="22" t="s">
        <v>252</v>
      </c>
      <c r="H85" s="22">
        <v>3.75</v>
      </c>
      <c r="I85" s="22" t="s">
        <v>252</v>
      </c>
      <c r="J85" s="22">
        <v>0</v>
      </c>
      <c r="K85" s="22" t="s">
        <v>253</v>
      </c>
      <c r="L85" s="5">
        <f t="shared" si="0"/>
        <v>900.00000000000637</v>
      </c>
      <c r="M85" s="21">
        <f t="shared" si="1"/>
        <v>36355230.000000261</v>
      </c>
    </row>
    <row r="86" spans="1:13">
      <c r="A86" s="18" t="s">
        <v>250</v>
      </c>
      <c r="B86" s="22">
        <v>2105500</v>
      </c>
      <c r="C86" s="1">
        <v>43922</v>
      </c>
      <c r="D86" s="19">
        <v>0.55208333333333337</v>
      </c>
      <c r="E86" s="22" t="s">
        <v>251</v>
      </c>
      <c r="F86" s="22">
        <v>5400</v>
      </c>
      <c r="G86" s="22" t="s">
        <v>252</v>
      </c>
      <c r="H86" s="22">
        <v>3.75</v>
      </c>
      <c r="I86" s="22" t="s">
        <v>252</v>
      </c>
      <c r="J86" s="22">
        <v>0</v>
      </c>
      <c r="K86" s="22" t="s">
        <v>253</v>
      </c>
      <c r="L86" s="5">
        <f t="shared" si="0"/>
        <v>899.99999999999682</v>
      </c>
      <c r="M86" s="21">
        <f t="shared" si="1"/>
        <v>36355229.999999873</v>
      </c>
    </row>
    <row r="87" spans="1:13">
      <c r="A87" s="18" t="s">
        <v>250</v>
      </c>
      <c r="B87" s="22">
        <v>2105500</v>
      </c>
      <c r="C87" s="1">
        <v>43922</v>
      </c>
      <c r="D87" s="19">
        <v>0.5625</v>
      </c>
      <c r="E87" s="22" t="s">
        <v>251</v>
      </c>
      <c r="F87" s="22">
        <v>5400</v>
      </c>
      <c r="G87" s="22" t="s">
        <v>252</v>
      </c>
      <c r="H87" s="22">
        <v>3.75</v>
      </c>
      <c r="I87" s="22" t="s">
        <v>252</v>
      </c>
      <c r="J87" s="22">
        <v>0</v>
      </c>
      <c r="K87" s="22" t="s">
        <v>253</v>
      </c>
      <c r="L87" s="5">
        <f t="shared" si="0"/>
        <v>899.99999999999682</v>
      </c>
      <c r="M87" s="21">
        <f t="shared" si="1"/>
        <v>36355229.999999873</v>
      </c>
    </row>
    <row r="88" spans="1:13">
      <c r="A88" s="18" t="s">
        <v>250</v>
      </c>
      <c r="B88" s="22">
        <v>2105500</v>
      </c>
      <c r="C88" s="1">
        <v>43922</v>
      </c>
      <c r="D88" s="19">
        <v>0.57291666666666663</v>
      </c>
      <c r="E88" s="22" t="s">
        <v>251</v>
      </c>
      <c r="F88" s="22">
        <v>5400</v>
      </c>
      <c r="G88" s="22" t="s">
        <v>252</v>
      </c>
      <c r="H88" s="22">
        <v>3.75</v>
      </c>
      <c r="I88" s="22" t="s">
        <v>252</v>
      </c>
      <c r="J88" s="22">
        <v>0</v>
      </c>
      <c r="K88" s="22" t="s">
        <v>253</v>
      </c>
      <c r="L88" s="5">
        <f t="shared" si="0"/>
        <v>900.00000000000637</v>
      </c>
      <c r="M88" s="21">
        <f t="shared" si="1"/>
        <v>36355230.000000261</v>
      </c>
    </row>
    <row r="89" spans="1:13">
      <c r="A89" s="18" t="s">
        <v>250</v>
      </c>
      <c r="B89" s="22">
        <v>2105500</v>
      </c>
      <c r="C89" s="1">
        <v>43922</v>
      </c>
      <c r="D89" s="19">
        <v>0.58333333333333337</v>
      </c>
      <c r="E89" s="22" t="s">
        <v>251</v>
      </c>
      <c r="F89" s="22">
        <v>5370</v>
      </c>
      <c r="G89" s="22" t="s">
        <v>252</v>
      </c>
      <c r="H89" s="22">
        <v>3.74</v>
      </c>
      <c r="I89" s="22" t="s">
        <v>252</v>
      </c>
      <c r="J89" s="22">
        <v>0</v>
      </c>
      <c r="K89" s="22" t="s">
        <v>253</v>
      </c>
      <c r="L89" s="5">
        <f t="shared" si="0"/>
        <v>899.99999999999682</v>
      </c>
      <c r="M89" s="21">
        <f t="shared" si="1"/>
        <v>36153256.499999873</v>
      </c>
    </row>
    <row r="90" spans="1:13">
      <c r="A90" s="18" t="s">
        <v>250</v>
      </c>
      <c r="B90" s="22">
        <v>2105500</v>
      </c>
      <c r="C90" s="1">
        <v>43922</v>
      </c>
      <c r="D90" s="19">
        <v>0.59375</v>
      </c>
      <c r="E90" s="22" t="s">
        <v>251</v>
      </c>
      <c r="F90" s="22">
        <v>5370</v>
      </c>
      <c r="G90" s="22" t="s">
        <v>252</v>
      </c>
      <c r="H90" s="22">
        <v>3.74</v>
      </c>
      <c r="I90" s="22" t="s">
        <v>252</v>
      </c>
      <c r="J90" s="22">
        <v>0</v>
      </c>
      <c r="K90" s="22" t="s">
        <v>253</v>
      </c>
      <c r="L90" s="5">
        <f t="shared" si="0"/>
        <v>899.99999999999682</v>
      </c>
      <c r="M90" s="21">
        <f t="shared" si="1"/>
        <v>36153256.499999873</v>
      </c>
    </row>
    <row r="91" spans="1:13">
      <c r="A91" s="18" t="s">
        <v>250</v>
      </c>
      <c r="B91" s="22">
        <v>2105500</v>
      </c>
      <c r="C91" s="1">
        <v>43922</v>
      </c>
      <c r="D91" s="19">
        <v>0.60416666666666663</v>
      </c>
      <c r="E91" s="22" t="s">
        <v>251</v>
      </c>
      <c r="F91" s="22">
        <v>5400</v>
      </c>
      <c r="G91" s="22" t="s">
        <v>252</v>
      </c>
      <c r="H91" s="22">
        <v>3.75</v>
      </c>
      <c r="I91" s="22" t="s">
        <v>252</v>
      </c>
      <c r="J91" s="22">
        <v>0</v>
      </c>
      <c r="K91" s="22" t="s">
        <v>253</v>
      </c>
      <c r="L91" s="5">
        <f t="shared" si="0"/>
        <v>900.00000000000637</v>
      </c>
      <c r="M91" s="21">
        <f t="shared" si="1"/>
        <v>36355230.000000261</v>
      </c>
    </row>
    <row r="92" spans="1:13">
      <c r="A92" s="18" t="s">
        <v>250</v>
      </c>
      <c r="B92" s="22">
        <v>2105500</v>
      </c>
      <c r="C92" s="1">
        <v>43922</v>
      </c>
      <c r="D92" s="19">
        <v>0.61458333333333337</v>
      </c>
      <c r="E92" s="22" t="s">
        <v>251</v>
      </c>
      <c r="F92" s="22">
        <v>5370</v>
      </c>
      <c r="G92" s="22" t="s">
        <v>252</v>
      </c>
      <c r="H92" s="22">
        <v>3.74</v>
      </c>
      <c r="I92" s="22" t="s">
        <v>252</v>
      </c>
      <c r="J92" s="22">
        <v>0</v>
      </c>
      <c r="K92" s="22" t="s">
        <v>253</v>
      </c>
      <c r="L92" s="5">
        <f t="shared" si="0"/>
        <v>899.99999999999682</v>
      </c>
      <c r="M92" s="21">
        <f t="shared" si="1"/>
        <v>36153256.499999873</v>
      </c>
    </row>
    <row r="93" spans="1:13">
      <c r="A93" s="18" t="s">
        <v>250</v>
      </c>
      <c r="B93" s="22">
        <v>2105500</v>
      </c>
      <c r="C93" s="1">
        <v>43922</v>
      </c>
      <c r="D93" s="19">
        <v>0.625</v>
      </c>
      <c r="E93" s="22" t="s">
        <v>251</v>
      </c>
      <c r="F93" s="22">
        <v>5400</v>
      </c>
      <c r="G93" s="22" t="s">
        <v>252</v>
      </c>
      <c r="H93" s="22">
        <v>3.75</v>
      </c>
      <c r="I93" s="22" t="s">
        <v>252</v>
      </c>
      <c r="J93" s="22">
        <v>0</v>
      </c>
      <c r="K93" s="22" t="s">
        <v>253</v>
      </c>
      <c r="L93" s="5">
        <f t="shared" si="0"/>
        <v>899.99999999999682</v>
      </c>
      <c r="M93" s="21">
        <f t="shared" si="1"/>
        <v>36355229.999999873</v>
      </c>
    </row>
    <row r="94" spans="1:13">
      <c r="A94" s="18" t="s">
        <v>250</v>
      </c>
      <c r="B94" s="22">
        <v>2105500</v>
      </c>
      <c r="C94" s="1">
        <v>43922</v>
      </c>
      <c r="D94" s="19">
        <v>0.63541666666666663</v>
      </c>
      <c r="E94" s="22" t="s">
        <v>251</v>
      </c>
      <c r="F94" s="22">
        <v>5400</v>
      </c>
      <c r="G94" s="22" t="s">
        <v>252</v>
      </c>
      <c r="H94" s="22">
        <v>3.75</v>
      </c>
      <c r="I94" s="22" t="s">
        <v>252</v>
      </c>
      <c r="J94" s="22">
        <v>0</v>
      </c>
      <c r="K94" s="22" t="s">
        <v>253</v>
      </c>
      <c r="L94" s="5">
        <f t="shared" si="0"/>
        <v>900.00000000000637</v>
      </c>
      <c r="M94" s="21">
        <f t="shared" si="1"/>
        <v>36355230.000000261</v>
      </c>
    </row>
    <row r="95" spans="1:13">
      <c r="A95" s="18" t="s">
        <v>250</v>
      </c>
      <c r="B95" s="22">
        <v>2105500</v>
      </c>
      <c r="C95" s="1">
        <v>43922</v>
      </c>
      <c r="D95" s="19">
        <v>0.64583333333333337</v>
      </c>
      <c r="E95" s="22" t="s">
        <v>251</v>
      </c>
      <c r="F95" s="22">
        <v>5370</v>
      </c>
      <c r="G95" s="22" t="s">
        <v>252</v>
      </c>
      <c r="H95" s="22">
        <v>3.74</v>
      </c>
      <c r="I95" s="22" t="s">
        <v>252</v>
      </c>
      <c r="J95" s="22">
        <v>0</v>
      </c>
      <c r="K95" s="22" t="s">
        <v>253</v>
      </c>
      <c r="L95" s="5">
        <f t="shared" si="0"/>
        <v>899.99999999999682</v>
      </c>
      <c r="M95" s="21">
        <f t="shared" si="1"/>
        <v>36153256.499999873</v>
      </c>
    </row>
    <row r="96" spans="1:13">
      <c r="A96" s="18" t="s">
        <v>250</v>
      </c>
      <c r="B96" s="22">
        <v>2105500</v>
      </c>
      <c r="C96" s="1">
        <v>43922</v>
      </c>
      <c r="D96" s="19">
        <v>0.65625</v>
      </c>
      <c r="E96" s="22" t="s">
        <v>251</v>
      </c>
      <c r="F96" s="22">
        <v>5370</v>
      </c>
      <c r="G96" s="22" t="s">
        <v>252</v>
      </c>
      <c r="H96" s="22">
        <v>3.74</v>
      </c>
      <c r="I96" s="22" t="s">
        <v>252</v>
      </c>
      <c r="J96" s="22">
        <v>0</v>
      </c>
      <c r="K96" s="22" t="s">
        <v>253</v>
      </c>
      <c r="L96" s="5">
        <f t="shared" si="0"/>
        <v>899.99999999999682</v>
      </c>
      <c r="M96" s="21">
        <f t="shared" si="1"/>
        <v>36153256.499999873</v>
      </c>
    </row>
    <row r="97" spans="1:13">
      <c r="A97" s="18" t="s">
        <v>250</v>
      </c>
      <c r="B97" s="22">
        <v>2105500</v>
      </c>
      <c r="C97" s="1">
        <v>43922</v>
      </c>
      <c r="D97" s="19">
        <v>0.66666666666666663</v>
      </c>
      <c r="E97" s="22" t="s">
        <v>251</v>
      </c>
      <c r="F97" s="22">
        <v>5350</v>
      </c>
      <c r="G97" s="22" t="s">
        <v>252</v>
      </c>
      <c r="H97" s="22">
        <v>3.73</v>
      </c>
      <c r="I97" s="22" t="s">
        <v>252</v>
      </c>
      <c r="J97" s="22">
        <v>0</v>
      </c>
      <c r="K97" s="22" t="s">
        <v>253</v>
      </c>
      <c r="L97" s="5">
        <f t="shared" si="0"/>
        <v>900.00000000000637</v>
      </c>
      <c r="M97" s="21">
        <f t="shared" si="1"/>
        <v>36018607.500000261</v>
      </c>
    </row>
    <row r="98" spans="1:13">
      <c r="A98" s="18" t="s">
        <v>250</v>
      </c>
      <c r="B98" s="22">
        <v>2105500</v>
      </c>
      <c r="C98" s="1">
        <v>43922</v>
      </c>
      <c r="D98" s="19">
        <v>0.67708333333333337</v>
      </c>
      <c r="E98" s="22" t="s">
        <v>251</v>
      </c>
      <c r="F98" s="22">
        <v>5370</v>
      </c>
      <c r="G98" s="22" t="s">
        <v>252</v>
      </c>
      <c r="H98" s="22">
        <v>3.74</v>
      </c>
      <c r="I98" s="22" t="s">
        <v>252</v>
      </c>
      <c r="J98" s="22">
        <v>0</v>
      </c>
      <c r="K98" s="22" t="s">
        <v>253</v>
      </c>
      <c r="L98" s="5">
        <f t="shared" ref="L98:L161" si="2">CONVERT((D99-D98),"day","sec")</f>
        <v>899.99999999999682</v>
      </c>
      <c r="M98" s="21">
        <f t="shared" ref="M98:M161" si="3">F98*L98*7.4805</f>
        <v>36153256.499999873</v>
      </c>
    </row>
    <row r="99" spans="1:13">
      <c r="A99" s="18" t="s">
        <v>250</v>
      </c>
      <c r="B99" s="22">
        <v>2105500</v>
      </c>
      <c r="C99" s="1">
        <v>43922</v>
      </c>
      <c r="D99" s="19">
        <v>0.6875</v>
      </c>
      <c r="E99" s="22" t="s">
        <v>251</v>
      </c>
      <c r="F99" s="22">
        <v>5400</v>
      </c>
      <c r="G99" s="22" t="s">
        <v>252</v>
      </c>
      <c r="H99" s="22">
        <v>3.75</v>
      </c>
      <c r="I99" s="22" t="s">
        <v>252</v>
      </c>
      <c r="J99" s="22">
        <v>0</v>
      </c>
      <c r="K99" s="22" t="s">
        <v>253</v>
      </c>
      <c r="L99" s="5">
        <f t="shared" si="2"/>
        <v>899.99999999999682</v>
      </c>
      <c r="M99" s="21">
        <f t="shared" si="3"/>
        <v>36355229.999999873</v>
      </c>
    </row>
    <row r="100" spans="1:13">
      <c r="A100" s="18" t="s">
        <v>250</v>
      </c>
      <c r="B100" s="22">
        <v>2105500</v>
      </c>
      <c r="C100" s="1">
        <v>43922</v>
      </c>
      <c r="D100" s="19">
        <v>0.69791666666666663</v>
      </c>
      <c r="E100" s="22" t="s">
        <v>251</v>
      </c>
      <c r="F100" s="22">
        <v>5400</v>
      </c>
      <c r="G100" s="22" t="s">
        <v>252</v>
      </c>
      <c r="H100" s="22">
        <v>3.75</v>
      </c>
      <c r="I100" s="22" t="s">
        <v>252</v>
      </c>
      <c r="J100" s="22">
        <v>0</v>
      </c>
      <c r="K100" s="22" t="s">
        <v>253</v>
      </c>
      <c r="L100" s="5">
        <f t="shared" si="2"/>
        <v>900.00000000000637</v>
      </c>
      <c r="M100" s="21">
        <f t="shared" si="3"/>
        <v>36355230.000000261</v>
      </c>
    </row>
    <row r="101" spans="1:13">
      <c r="A101" s="18" t="s">
        <v>250</v>
      </c>
      <c r="B101" s="22">
        <v>2105500</v>
      </c>
      <c r="C101" s="1">
        <v>43922</v>
      </c>
      <c r="D101" s="19">
        <v>0.70833333333333337</v>
      </c>
      <c r="E101" s="22" t="s">
        <v>251</v>
      </c>
      <c r="F101" s="22">
        <v>5400</v>
      </c>
      <c r="G101" s="22" t="s">
        <v>252</v>
      </c>
      <c r="H101" s="22">
        <v>3.75</v>
      </c>
      <c r="I101" s="22" t="s">
        <v>252</v>
      </c>
      <c r="J101" s="22">
        <v>0</v>
      </c>
      <c r="K101" s="22" t="s">
        <v>253</v>
      </c>
      <c r="L101" s="5">
        <f t="shared" si="2"/>
        <v>899.99999999999682</v>
      </c>
      <c r="M101" s="21">
        <f t="shared" si="3"/>
        <v>36355229.999999873</v>
      </c>
    </row>
    <row r="102" spans="1:13">
      <c r="A102" s="18" t="s">
        <v>250</v>
      </c>
      <c r="B102" s="22">
        <v>2105500</v>
      </c>
      <c r="C102" s="1">
        <v>43922</v>
      </c>
      <c r="D102" s="19">
        <v>0.71875</v>
      </c>
      <c r="E102" s="22" t="s">
        <v>251</v>
      </c>
      <c r="F102" s="22">
        <v>5350</v>
      </c>
      <c r="G102" s="22" t="s">
        <v>252</v>
      </c>
      <c r="H102" s="22">
        <v>3.73</v>
      </c>
      <c r="I102" s="22" t="s">
        <v>252</v>
      </c>
      <c r="J102" s="22">
        <v>0</v>
      </c>
      <c r="K102" s="22" t="s">
        <v>253</v>
      </c>
      <c r="L102" s="5">
        <f t="shared" si="2"/>
        <v>899.99999999999682</v>
      </c>
      <c r="M102" s="21">
        <f t="shared" si="3"/>
        <v>36018607.499999873</v>
      </c>
    </row>
    <row r="103" spans="1:13">
      <c r="A103" s="18" t="s">
        <v>250</v>
      </c>
      <c r="B103" s="22">
        <v>2105500</v>
      </c>
      <c r="C103" s="1">
        <v>43922</v>
      </c>
      <c r="D103" s="19">
        <v>0.72916666666666663</v>
      </c>
      <c r="E103" s="22" t="s">
        <v>251</v>
      </c>
      <c r="F103" s="22">
        <v>5350</v>
      </c>
      <c r="G103" s="22" t="s">
        <v>252</v>
      </c>
      <c r="H103" s="22">
        <v>3.73</v>
      </c>
      <c r="I103" s="22" t="s">
        <v>252</v>
      </c>
      <c r="J103" s="22">
        <v>0</v>
      </c>
      <c r="K103" s="22" t="s">
        <v>253</v>
      </c>
      <c r="L103" s="5">
        <f t="shared" si="2"/>
        <v>900.00000000000637</v>
      </c>
      <c r="M103" s="21">
        <f t="shared" si="3"/>
        <v>36018607.500000261</v>
      </c>
    </row>
    <row r="104" spans="1:13">
      <c r="A104" s="18" t="s">
        <v>250</v>
      </c>
      <c r="B104" s="22">
        <v>2105500</v>
      </c>
      <c r="C104" s="1">
        <v>43922</v>
      </c>
      <c r="D104" s="19">
        <v>0.73958333333333337</v>
      </c>
      <c r="E104" s="22" t="s">
        <v>251</v>
      </c>
      <c r="F104" s="22">
        <v>5350</v>
      </c>
      <c r="G104" s="22" t="s">
        <v>252</v>
      </c>
      <c r="H104" s="22">
        <v>3.73</v>
      </c>
      <c r="I104" s="22" t="s">
        <v>252</v>
      </c>
      <c r="J104" s="22">
        <v>0</v>
      </c>
      <c r="K104" s="22" t="s">
        <v>253</v>
      </c>
      <c r="L104" s="5">
        <f t="shared" si="2"/>
        <v>899.99999999999682</v>
      </c>
      <c r="M104" s="21">
        <f t="shared" si="3"/>
        <v>36018607.499999873</v>
      </c>
    </row>
    <row r="105" spans="1:13">
      <c r="A105" s="18" t="s">
        <v>250</v>
      </c>
      <c r="B105" s="22">
        <v>2105500</v>
      </c>
      <c r="C105" s="1">
        <v>43922</v>
      </c>
      <c r="D105" s="19">
        <v>0.75</v>
      </c>
      <c r="E105" s="22" t="s">
        <v>251</v>
      </c>
      <c r="F105" s="22">
        <v>5350</v>
      </c>
      <c r="G105" s="22" t="s">
        <v>252</v>
      </c>
      <c r="H105" s="22">
        <v>3.73</v>
      </c>
      <c r="I105" s="22" t="s">
        <v>252</v>
      </c>
      <c r="J105" s="22">
        <v>0</v>
      </c>
      <c r="K105" s="22" t="s">
        <v>253</v>
      </c>
      <c r="L105" s="5">
        <f t="shared" si="2"/>
        <v>899.99999999999682</v>
      </c>
      <c r="M105" s="21">
        <f t="shared" si="3"/>
        <v>36018607.499999873</v>
      </c>
    </row>
    <row r="106" spans="1:13">
      <c r="A106" s="18" t="s">
        <v>250</v>
      </c>
      <c r="B106" s="22">
        <v>2105500</v>
      </c>
      <c r="C106" s="1">
        <v>43922</v>
      </c>
      <c r="D106" s="19">
        <v>0.76041666666666663</v>
      </c>
      <c r="E106" s="22" t="s">
        <v>251</v>
      </c>
      <c r="F106" s="22">
        <v>5350</v>
      </c>
      <c r="G106" s="22" t="s">
        <v>252</v>
      </c>
      <c r="H106" s="22">
        <v>3.73</v>
      </c>
      <c r="I106" s="22" t="s">
        <v>252</v>
      </c>
      <c r="J106" s="22">
        <v>0</v>
      </c>
      <c r="K106" s="22" t="s">
        <v>253</v>
      </c>
      <c r="L106" s="5">
        <f t="shared" si="2"/>
        <v>900.00000000000637</v>
      </c>
      <c r="M106" s="21">
        <f t="shared" si="3"/>
        <v>36018607.500000261</v>
      </c>
    </row>
    <row r="107" spans="1:13">
      <c r="A107" s="18" t="s">
        <v>250</v>
      </c>
      <c r="B107" s="22">
        <v>2105500</v>
      </c>
      <c r="C107" s="1">
        <v>43922</v>
      </c>
      <c r="D107" s="19">
        <v>0.77083333333333337</v>
      </c>
      <c r="E107" s="22" t="s">
        <v>251</v>
      </c>
      <c r="F107" s="22">
        <v>5350</v>
      </c>
      <c r="G107" s="22" t="s">
        <v>252</v>
      </c>
      <c r="H107" s="22">
        <v>3.73</v>
      </c>
      <c r="I107" s="22" t="s">
        <v>252</v>
      </c>
      <c r="J107" s="22">
        <v>0</v>
      </c>
      <c r="K107" s="22" t="s">
        <v>253</v>
      </c>
      <c r="L107" s="5">
        <f t="shared" si="2"/>
        <v>899.99999999999682</v>
      </c>
      <c r="M107" s="21">
        <f t="shared" si="3"/>
        <v>36018607.499999873</v>
      </c>
    </row>
    <row r="108" spans="1:13">
      <c r="A108" s="18" t="s">
        <v>250</v>
      </c>
      <c r="B108" s="22">
        <v>2105500</v>
      </c>
      <c r="C108" s="1">
        <v>43922</v>
      </c>
      <c r="D108" s="19">
        <v>0.78125</v>
      </c>
      <c r="E108" s="22" t="s">
        <v>251</v>
      </c>
      <c r="F108" s="22">
        <v>5320</v>
      </c>
      <c r="G108" s="22" t="s">
        <v>252</v>
      </c>
      <c r="H108" s="22">
        <v>3.72</v>
      </c>
      <c r="I108" s="22" t="s">
        <v>252</v>
      </c>
      <c r="J108" s="22">
        <v>0</v>
      </c>
      <c r="K108" s="22" t="s">
        <v>253</v>
      </c>
      <c r="L108" s="5">
        <f t="shared" si="2"/>
        <v>899.99999999999682</v>
      </c>
      <c r="M108" s="21">
        <f t="shared" si="3"/>
        <v>35816633.999999873</v>
      </c>
    </row>
    <row r="109" spans="1:13">
      <c r="A109" s="18" t="s">
        <v>250</v>
      </c>
      <c r="B109" s="22">
        <v>2105500</v>
      </c>
      <c r="C109" s="1">
        <v>43922</v>
      </c>
      <c r="D109" s="19">
        <v>0.79166666666666663</v>
      </c>
      <c r="E109" s="22" t="s">
        <v>251</v>
      </c>
      <c r="F109" s="22">
        <v>5320</v>
      </c>
      <c r="G109" s="22" t="s">
        <v>252</v>
      </c>
      <c r="H109" s="22">
        <v>3.72</v>
      </c>
      <c r="I109" s="22" t="s">
        <v>252</v>
      </c>
      <c r="J109" s="22">
        <v>0</v>
      </c>
      <c r="K109" s="22" t="s">
        <v>253</v>
      </c>
      <c r="L109" s="5">
        <f t="shared" si="2"/>
        <v>900.00000000000637</v>
      </c>
      <c r="M109" s="21">
        <f t="shared" si="3"/>
        <v>35816634.000000253</v>
      </c>
    </row>
    <row r="110" spans="1:13">
      <c r="A110" s="18" t="s">
        <v>250</v>
      </c>
      <c r="B110" s="22">
        <v>2105500</v>
      </c>
      <c r="C110" s="1">
        <v>43922</v>
      </c>
      <c r="D110" s="19">
        <v>0.80208333333333337</v>
      </c>
      <c r="E110" s="22" t="s">
        <v>251</v>
      </c>
      <c r="F110" s="22">
        <v>5320</v>
      </c>
      <c r="G110" s="22" t="s">
        <v>252</v>
      </c>
      <c r="H110" s="22">
        <v>3.72</v>
      </c>
      <c r="I110" s="22" t="s">
        <v>252</v>
      </c>
      <c r="J110" s="22">
        <v>0</v>
      </c>
      <c r="K110" s="22" t="s">
        <v>253</v>
      </c>
      <c r="L110" s="5">
        <f t="shared" si="2"/>
        <v>899.99999999999682</v>
      </c>
      <c r="M110" s="21">
        <f t="shared" si="3"/>
        <v>35816633.999999873</v>
      </c>
    </row>
    <row r="111" spans="1:13">
      <c r="A111" s="18" t="s">
        <v>250</v>
      </c>
      <c r="B111" s="22">
        <v>2105500</v>
      </c>
      <c r="C111" s="1">
        <v>43922</v>
      </c>
      <c r="D111" s="19">
        <v>0.8125</v>
      </c>
      <c r="E111" s="22" t="s">
        <v>251</v>
      </c>
      <c r="F111" s="22">
        <v>5320</v>
      </c>
      <c r="G111" s="22" t="s">
        <v>252</v>
      </c>
      <c r="H111" s="22">
        <v>3.72</v>
      </c>
      <c r="I111" s="22" t="s">
        <v>252</v>
      </c>
      <c r="J111" s="22">
        <v>0</v>
      </c>
      <c r="K111" s="22" t="s">
        <v>253</v>
      </c>
      <c r="L111" s="5">
        <f t="shared" si="2"/>
        <v>899.99999999999682</v>
      </c>
      <c r="M111" s="21">
        <f t="shared" si="3"/>
        <v>35816633.999999873</v>
      </c>
    </row>
    <row r="112" spans="1:13">
      <c r="A112" s="18" t="s">
        <v>250</v>
      </c>
      <c r="B112" s="22">
        <v>2105500</v>
      </c>
      <c r="C112" s="1">
        <v>43922</v>
      </c>
      <c r="D112" s="19">
        <v>0.82291666666666663</v>
      </c>
      <c r="E112" s="22" t="s">
        <v>251</v>
      </c>
      <c r="F112" s="22">
        <v>5350</v>
      </c>
      <c r="G112" s="22" t="s">
        <v>252</v>
      </c>
      <c r="H112" s="22">
        <v>3.73</v>
      </c>
      <c r="I112" s="22" t="s">
        <v>252</v>
      </c>
      <c r="J112" s="22">
        <v>0</v>
      </c>
      <c r="K112" s="22" t="s">
        <v>253</v>
      </c>
      <c r="L112" s="5">
        <f t="shared" si="2"/>
        <v>900.00000000000637</v>
      </c>
      <c r="M112" s="21">
        <f t="shared" si="3"/>
        <v>36018607.500000261</v>
      </c>
    </row>
    <row r="113" spans="1:13">
      <c r="A113" s="18" t="s">
        <v>250</v>
      </c>
      <c r="B113" s="22">
        <v>2105500</v>
      </c>
      <c r="C113" s="1">
        <v>43922</v>
      </c>
      <c r="D113" s="19">
        <v>0.83333333333333337</v>
      </c>
      <c r="E113" s="22" t="s">
        <v>251</v>
      </c>
      <c r="F113" s="22">
        <v>5320</v>
      </c>
      <c r="G113" s="22" t="s">
        <v>252</v>
      </c>
      <c r="H113" s="22">
        <v>3.72</v>
      </c>
      <c r="I113" s="22" t="s">
        <v>252</v>
      </c>
      <c r="J113" s="22">
        <v>0</v>
      </c>
      <c r="K113" s="22" t="s">
        <v>253</v>
      </c>
      <c r="L113" s="5">
        <f t="shared" si="2"/>
        <v>899.99999999999682</v>
      </c>
      <c r="M113" s="21">
        <f t="shared" si="3"/>
        <v>35816633.999999873</v>
      </c>
    </row>
    <row r="114" spans="1:13">
      <c r="A114" s="18" t="s">
        <v>250</v>
      </c>
      <c r="B114" s="22">
        <v>2105500</v>
      </c>
      <c r="C114" s="1">
        <v>43922</v>
      </c>
      <c r="D114" s="19">
        <v>0.84375</v>
      </c>
      <c r="E114" s="22" t="s">
        <v>251</v>
      </c>
      <c r="F114" s="22">
        <v>5320</v>
      </c>
      <c r="G114" s="22" t="s">
        <v>252</v>
      </c>
      <c r="H114" s="22">
        <v>3.72</v>
      </c>
      <c r="I114" s="22" t="s">
        <v>252</v>
      </c>
      <c r="J114" s="22">
        <v>0</v>
      </c>
      <c r="K114" s="22" t="s">
        <v>253</v>
      </c>
      <c r="L114" s="5">
        <f t="shared" si="2"/>
        <v>899.99999999999682</v>
      </c>
      <c r="M114" s="21">
        <f t="shared" si="3"/>
        <v>35816633.999999873</v>
      </c>
    </row>
    <row r="115" spans="1:13">
      <c r="A115" s="18" t="s">
        <v>250</v>
      </c>
      <c r="B115" s="22">
        <v>2105500</v>
      </c>
      <c r="C115" s="1">
        <v>43922</v>
      </c>
      <c r="D115" s="19">
        <v>0.85416666666666663</v>
      </c>
      <c r="E115" s="22" t="s">
        <v>251</v>
      </c>
      <c r="F115" s="22">
        <v>5320</v>
      </c>
      <c r="G115" s="22" t="s">
        <v>252</v>
      </c>
      <c r="H115" s="22">
        <v>3.72</v>
      </c>
      <c r="I115" s="22" t="s">
        <v>252</v>
      </c>
      <c r="J115" s="22">
        <v>0</v>
      </c>
      <c r="K115" s="22" t="s">
        <v>253</v>
      </c>
      <c r="L115" s="5">
        <f t="shared" si="2"/>
        <v>900.00000000000637</v>
      </c>
      <c r="M115" s="21">
        <f t="shared" si="3"/>
        <v>35816634.000000253</v>
      </c>
    </row>
    <row r="116" spans="1:13">
      <c r="A116" s="18" t="s">
        <v>250</v>
      </c>
      <c r="B116" s="22">
        <v>2105500</v>
      </c>
      <c r="C116" s="1">
        <v>43922</v>
      </c>
      <c r="D116" s="19">
        <v>0.86458333333333337</v>
      </c>
      <c r="E116" s="22" t="s">
        <v>251</v>
      </c>
      <c r="F116" s="22">
        <v>5320</v>
      </c>
      <c r="G116" s="22" t="s">
        <v>252</v>
      </c>
      <c r="H116" s="22">
        <v>3.72</v>
      </c>
      <c r="I116" s="22" t="s">
        <v>252</v>
      </c>
      <c r="J116" s="22">
        <v>0</v>
      </c>
      <c r="K116" s="22" t="s">
        <v>253</v>
      </c>
      <c r="L116" s="5">
        <f t="shared" si="2"/>
        <v>899.99999999999682</v>
      </c>
      <c r="M116" s="21">
        <f t="shared" si="3"/>
        <v>35816633.999999873</v>
      </c>
    </row>
    <row r="117" spans="1:13">
      <c r="A117" s="18" t="s">
        <v>250</v>
      </c>
      <c r="B117" s="22">
        <v>2105500</v>
      </c>
      <c r="C117" s="1">
        <v>43922</v>
      </c>
      <c r="D117" s="19">
        <v>0.875</v>
      </c>
      <c r="E117" s="22" t="s">
        <v>251</v>
      </c>
      <c r="F117" s="22">
        <v>5320</v>
      </c>
      <c r="G117" s="22" t="s">
        <v>252</v>
      </c>
      <c r="H117" s="22">
        <v>3.72</v>
      </c>
      <c r="I117" s="22" t="s">
        <v>252</v>
      </c>
      <c r="J117" s="22">
        <v>0</v>
      </c>
      <c r="K117" s="22" t="s">
        <v>253</v>
      </c>
      <c r="L117" s="5">
        <f t="shared" si="2"/>
        <v>899.99999999999682</v>
      </c>
      <c r="M117" s="21">
        <f t="shared" si="3"/>
        <v>35816633.999999873</v>
      </c>
    </row>
    <row r="118" spans="1:13">
      <c r="A118" s="18" t="s">
        <v>250</v>
      </c>
      <c r="B118" s="22">
        <v>2105500</v>
      </c>
      <c r="C118" s="1">
        <v>43922</v>
      </c>
      <c r="D118" s="19">
        <v>0.88541666666666663</v>
      </c>
      <c r="E118" s="22" t="s">
        <v>251</v>
      </c>
      <c r="F118" s="22">
        <v>5320</v>
      </c>
      <c r="G118" s="22" t="s">
        <v>252</v>
      </c>
      <c r="H118" s="22">
        <v>3.72</v>
      </c>
      <c r="I118" s="22" t="s">
        <v>252</v>
      </c>
      <c r="J118" s="22">
        <v>0</v>
      </c>
      <c r="K118" s="22" t="s">
        <v>253</v>
      </c>
      <c r="L118" s="5">
        <f t="shared" si="2"/>
        <v>900.00000000000637</v>
      </c>
      <c r="M118" s="21">
        <f t="shared" si="3"/>
        <v>35816634.000000253</v>
      </c>
    </row>
    <row r="119" spans="1:13">
      <c r="A119" s="18" t="s">
        <v>250</v>
      </c>
      <c r="B119" s="22">
        <v>2105500</v>
      </c>
      <c r="C119" s="1">
        <v>43922</v>
      </c>
      <c r="D119" s="19">
        <v>0.89583333333333337</v>
      </c>
      <c r="E119" s="22" t="s">
        <v>251</v>
      </c>
      <c r="F119" s="22">
        <v>5320</v>
      </c>
      <c r="G119" s="22" t="s">
        <v>252</v>
      </c>
      <c r="H119" s="22">
        <v>3.72</v>
      </c>
      <c r="I119" s="22" t="s">
        <v>252</v>
      </c>
      <c r="J119" s="22">
        <v>0</v>
      </c>
      <c r="K119" s="22" t="s">
        <v>253</v>
      </c>
      <c r="L119" s="5">
        <f t="shared" si="2"/>
        <v>899.99999999999682</v>
      </c>
      <c r="M119" s="21">
        <f t="shared" si="3"/>
        <v>35816633.999999873</v>
      </c>
    </row>
    <row r="120" spans="1:13">
      <c r="A120" s="18" t="s">
        <v>250</v>
      </c>
      <c r="B120" s="22">
        <v>2105500</v>
      </c>
      <c r="C120" s="1">
        <v>43922</v>
      </c>
      <c r="D120" s="19">
        <v>0.90625</v>
      </c>
      <c r="E120" s="22" t="s">
        <v>251</v>
      </c>
      <c r="F120" s="22">
        <v>5320</v>
      </c>
      <c r="G120" s="22" t="s">
        <v>252</v>
      </c>
      <c r="H120" s="22">
        <v>3.72</v>
      </c>
      <c r="I120" s="22" t="s">
        <v>252</v>
      </c>
      <c r="J120" s="22">
        <v>0</v>
      </c>
      <c r="K120" s="22" t="s">
        <v>253</v>
      </c>
      <c r="L120" s="5">
        <f t="shared" si="2"/>
        <v>899.99999999999682</v>
      </c>
      <c r="M120" s="21">
        <f t="shared" si="3"/>
        <v>35816633.999999873</v>
      </c>
    </row>
    <row r="121" spans="1:13">
      <c r="A121" s="18" t="s">
        <v>250</v>
      </c>
      <c r="B121" s="22">
        <v>2105500</v>
      </c>
      <c r="C121" s="1">
        <v>43922</v>
      </c>
      <c r="D121" s="19">
        <v>0.91666666666666663</v>
      </c>
      <c r="E121" s="22" t="s">
        <v>251</v>
      </c>
      <c r="F121" s="22">
        <v>5320</v>
      </c>
      <c r="G121" s="22" t="s">
        <v>252</v>
      </c>
      <c r="H121" s="22">
        <v>3.72</v>
      </c>
      <c r="I121" s="22" t="s">
        <v>252</v>
      </c>
      <c r="J121" s="22">
        <v>0</v>
      </c>
      <c r="K121" s="22" t="s">
        <v>253</v>
      </c>
      <c r="L121" s="5">
        <f t="shared" si="2"/>
        <v>900.00000000000637</v>
      </c>
      <c r="M121" s="21">
        <f t="shared" si="3"/>
        <v>35816634.000000253</v>
      </c>
    </row>
    <row r="122" spans="1:13">
      <c r="A122" s="18" t="s">
        <v>250</v>
      </c>
      <c r="B122" s="22">
        <v>2105500</v>
      </c>
      <c r="C122" s="1">
        <v>43922</v>
      </c>
      <c r="D122" s="19">
        <v>0.92708333333333337</v>
      </c>
      <c r="E122" s="22" t="s">
        <v>251</v>
      </c>
      <c r="F122" s="22">
        <v>5320</v>
      </c>
      <c r="G122" s="22" t="s">
        <v>252</v>
      </c>
      <c r="H122" s="22">
        <v>3.72</v>
      </c>
      <c r="I122" s="22" t="s">
        <v>252</v>
      </c>
      <c r="J122" s="22">
        <v>0</v>
      </c>
      <c r="K122" s="22" t="s">
        <v>253</v>
      </c>
      <c r="L122" s="5">
        <f t="shared" si="2"/>
        <v>899.99999999999682</v>
      </c>
      <c r="M122" s="21">
        <f t="shared" si="3"/>
        <v>35816633.999999873</v>
      </c>
    </row>
    <row r="123" spans="1:13">
      <c r="A123" s="18" t="s">
        <v>250</v>
      </c>
      <c r="B123" s="22">
        <v>2105500</v>
      </c>
      <c r="C123" s="1">
        <v>43922</v>
      </c>
      <c r="D123" s="19">
        <v>0.9375</v>
      </c>
      <c r="E123" s="22" t="s">
        <v>251</v>
      </c>
      <c r="F123" s="22">
        <v>5320</v>
      </c>
      <c r="G123" s="22" t="s">
        <v>252</v>
      </c>
      <c r="H123" s="22">
        <v>3.72</v>
      </c>
      <c r="I123" s="22" t="s">
        <v>252</v>
      </c>
      <c r="J123" s="22">
        <v>0</v>
      </c>
      <c r="K123" s="22" t="s">
        <v>253</v>
      </c>
      <c r="L123" s="5">
        <f t="shared" si="2"/>
        <v>899.99999999999682</v>
      </c>
      <c r="M123" s="21">
        <f t="shared" si="3"/>
        <v>35816633.999999873</v>
      </c>
    </row>
    <row r="124" spans="1:13">
      <c r="A124" s="18" t="s">
        <v>250</v>
      </c>
      <c r="B124" s="22">
        <v>2105500</v>
      </c>
      <c r="C124" s="1">
        <v>43922</v>
      </c>
      <c r="D124" s="19">
        <v>0.94791666666666663</v>
      </c>
      <c r="E124" s="22" t="s">
        <v>251</v>
      </c>
      <c r="F124" s="22">
        <v>5290</v>
      </c>
      <c r="G124" s="22" t="s">
        <v>252</v>
      </c>
      <c r="H124" s="22">
        <v>3.71</v>
      </c>
      <c r="I124" s="22" t="s">
        <v>252</v>
      </c>
      <c r="J124" s="22">
        <v>0</v>
      </c>
      <c r="K124" s="22" t="s">
        <v>253</v>
      </c>
      <c r="L124" s="5">
        <f t="shared" si="2"/>
        <v>900.00000000000637</v>
      </c>
      <c r="M124" s="21">
        <f t="shared" si="3"/>
        <v>35614660.500000253</v>
      </c>
    </row>
    <row r="125" spans="1:13">
      <c r="A125" s="18" t="s">
        <v>250</v>
      </c>
      <c r="B125" s="22">
        <v>2105500</v>
      </c>
      <c r="C125" s="1">
        <v>43922</v>
      </c>
      <c r="D125" s="19">
        <v>0.95833333333333337</v>
      </c>
      <c r="E125" s="22" t="s">
        <v>251</v>
      </c>
      <c r="F125" s="22">
        <v>5290</v>
      </c>
      <c r="G125" s="22" t="s">
        <v>252</v>
      </c>
      <c r="H125" s="22">
        <v>3.71</v>
      </c>
      <c r="I125" s="22" t="s">
        <v>252</v>
      </c>
      <c r="J125" s="22">
        <v>0</v>
      </c>
      <c r="K125" s="22" t="s">
        <v>253</v>
      </c>
      <c r="L125" s="5">
        <f t="shared" si="2"/>
        <v>899.99999999999682</v>
      </c>
      <c r="M125" s="21">
        <f t="shared" si="3"/>
        <v>35614660.499999873</v>
      </c>
    </row>
    <row r="126" spans="1:13">
      <c r="A126" s="18" t="s">
        <v>250</v>
      </c>
      <c r="B126" s="22">
        <v>2105500</v>
      </c>
      <c r="C126" s="1">
        <v>43922</v>
      </c>
      <c r="D126" s="19">
        <v>0.96875</v>
      </c>
      <c r="E126" s="22" t="s">
        <v>251</v>
      </c>
      <c r="F126" s="22">
        <v>5290</v>
      </c>
      <c r="G126" s="22" t="s">
        <v>252</v>
      </c>
      <c r="H126" s="22">
        <v>3.71</v>
      </c>
      <c r="I126" s="22" t="s">
        <v>252</v>
      </c>
      <c r="J126" s="22">
        <v>0</v>
      </c>
      <c r="K126" s="22" t="s">
        <v>253</v>
      </c>
      <c r="L126" s="5">
        <f t="shared" si="2"/>
        <v>899.99999999999682</v>
      </c>
      <c r="M126" s="21">
        <f t="shared" si="3"/>
        <v>35614660.499999873</v>
      </c>
    </row>
    <row r="127" spans="1:13">
      <c r="A127" s="18" t="s">
        <v>250</v>
      </c>
      <c r="B127" s="22">
        <v>2105500</v>
      </c>
      <c r="C127" s="1">
        <v>43922</v>
      </c>
      <c r="D127" s="19">
        <v>0.97916666666666663</v>
      </c>
      <c r="E127" s="22" t="s">
        <v>251</v>
      </c>
      <c r="F127" s="22">
        <v>5290</v>
      </c>
      <c r="G127" s="22" t="s">
        <v>252</v>
      </c>
      <c r="H127" s="22">
        <v>3.71</v>
      </c>
      <c r="I127" s="22" t="s">
        <v>252</v>
      </c>
      <c r="J127" s="22">
        <v>0</v>
      </c>
      <c r="K127" s="22" t="s">
        <v>253</v>
      </c>
      <c r="L127" s="5">
        <f t="shared" si="2"/>
        <v>900.00000000000637</v>
      </c>
      <c r="M127" s="21">
        <f t="shared" si="3"/>
        <v>35614660.500000253</v>
      </c>
    </row>
    <row r="128" spans="1:13">
      <c r="A128" s="18" t="s">
        <v>250</v>
      </c>
      <c r="B128" s="22">
        <v>2105500</v>
      </c>
      <c r="C128" s="1">
        <v>43922</v>
      </c>
      <c r="D128" s="19">
        <v>0.98958333333333337</v>
      </c>
      <c r="E128" s="22" t="s">
        <v>251</v>
      </c>
      <c r="F128" s="22">
        <v>5290</v>
      </c>
      <c r="G128" s="22" t="s">
        <v>252</v>
      </c>
      <c r="H128" s="22">
        <v>3.71</v>
      </c>
      <c r="I128" s="22" t="s">
        <v>252</v>
      </c>
      <c r="J128" s="22">
        <v>0</v>
      </c>
      <c r="K128" s="22" t="s">
        <v>253</v>
      </c>
      <c r="L128" s="5">
        <v>900</v>
      </c>
      <c r="M128" s="21">
        <f t="shared" si="3"/>
        <v>35614660.5</v>
      </c>
    </row>
    <row r="129" spans="1:13">
      <c r="A129" s="18" t="s">
        <v>250</v>
      </c>
      <c r="B129" s="22">
        <v>2105500</v>
      </c>
      <c r="C129" s="1">
        <v>43923</v>
      </c>
      <c r="D129" s="19">
        <v>0</v>
      </c>
      <c r="E129" s="22" t="s">
        <v>251</v>
      </c>
      <c r="F129" s="22">
        <v>5290</v>
      </c>
      <c r="G129" s="22" t="s">
        <v>252</v>
      </c>
      <c r="H129" s="22">
        <v>3.71</v>
      </c>
      <c r="I129" s="22" t="s">
        <v>252</v>
      </c>
      <c r="J129" s="22">
        <v>0</v>
      </c>
      <c r="K129" s="22" t="s">
        <v>253</v>
      </c>
      <c r="L129" s="5">
        <f t="shared" si="2"/>
        <v>900</v>
      </c>
      <c r="M129" s="21">
        <f t="shared" si="3"/>
        <v>35614660.5</v>
      </c>
    </row>
    <row r="130" spans="1:13">
      <c r="A130" s="18" t="s">
        <v>250</v>
      </c>
      <c r="B130" s="22">
        <v>2105500</v>
      </c>
      <c r="C130" s="1">
        <v>43923</v>
      </c>
      <c r="D130" s="19">
        <v>1.0416666666666666E-2</v>
      </c>
      <c r="E130" s="22" t="s">
        <v>251</v>
      </c>
      <c r="F130" s="22">
        <v>5290</v>
      </c>
      <c r="G130" s="22" t="s">
        <v>252</v>
      </c>
      <c r="H130" s="22">
        <v>3.71</v>
      </c>
      <c r="I130" s="22" t="s">
        <v>252</v>
      </c>
      <c r="J130" s="22">
        <v>0</v>
      </c>
      <c r="K130" s="22" t="s">
        <v>253</v>
      </c>
      <c r="L130" s="5">
        <f t="shared" si="2"/>
        <v>900</v>
      </c>
      <c r="M130" s="21">
        <f t="shared" si="3"/>
        <v>35614660.5</v>
      </c>
    </row>
    <row r="131" spans="1:13">
      <c r="A131" s="18" t="s">
        <v>250</v>
      </c>
      <c r="B131" s="22">
        <v>2105500</v>
      </c>
      <c r="C131" s="1">
        <v>43923</v>
      </c>
      <c r="D131" s="19">
        <v>2.0833333333333332E-2</v>
      </c>
      <c r="E131" s="22" t="s">
        <v>251</v>
      </c>
      <c r="F131" s="22">
        <v>5290</v>
      </c>
      <c r="G131" s="22" t="s">
        <v>252</v>
      </c>
      <c r="H131" s="22">
        <v>3.71</v>
      </c>
      <c r="I131" s="22" t="s">
        <v>252</v>
      </c>
      <c r="J131" s="22">
        <v>0</v>
      </c>
      <c r="K131" s="22" t="s">
        <v>253</v>
      </c>
      <c r="L131" s="5">
        <f t="shared" si="2"/>
        <v>900.00000000000011</v>
      </c>
      <c r="M131" s="21">
        <f t="shared" si="3"/>
        <v>35614660.500000007</v>
      </c>
    </row>
    <row r="132" spans="1:13">
      <c r="A132" s="18" t="s">
        <v>250</v>
      </c>
      <c r="B132" s="22">
        <v>2105500</v>
      </c>
      <c r="C132" s="1">
        <v>43923</v>
      </c>
      <c r="D132" s="19">
        <v>3.125E-2</v>
      </c>
      <c r="E132" s="22" t="s">
        <v>251</v>
      </c>
      <c r="F132" s="22">
        <v>5290</v>
      </c>
      <c r="G132" s="22" t="s">
        <v>252</v>
      </c>
      <c r="H132" s="22">
        <v>3.71</v>
      </c>
      <c r="I132" s="22" t="s">
        <v>252</v>
      </c>
      <c r="J132" s="22">
        <v>0</v>
      </c>
      <c r="K132" s="22" t="s">
        <v>253</v>
      </c>
      <c r="L132" s="5">
        <f t="shared" si="2"/>
        <v>899.99999999999977</v>
      </c>
      <c r="M132" s="21">
        <f t="shared" si="3"/>
        <v>35614660.499999993</v>
      </c>
    </row>
    <row r="133" spans="1:13">
      <c r="A133" s="18" t="s">
        <v>250</v>
      </c>
      <c r="B133" s="22">
        <v>2105500</v>
      </c>
      <c r="C133" s="1">
        <v>43923</v>
      </c>
      <c r="D133" s="19">
        <v>4.1666666666666664E-2</v>
      </c>
      <c r="E133" s="22" t="s">
        <v>251</v>
      </c>
      <c r="F133" s="22">
        <v>5290</v>
      </c>
      <c r="G133" s="22" t="s">
        <v>252</v>
      </c>
      <c r="H133" s="22">
        <v>3.71</v>
      </c>
      <c r="I133" s="22" t="s">
        <v>252</v>
      </c>
      <c r="J133" s="22">
        <v>0</v>
      </c>
      <c r="K133" s="22" t="s">
        <v>253</v>
      </c>
      <c r="L133" s="5">
        <f t="shared" si="2"/>
        <v>900.00000000000045</v>
      </c>
      <c r="M133" s="21">
        <f t="shared" si="3"/>
        <v>35614660.500000022</v>
      </c>
    </row>
    <row r="134" spans="1:13">
      <c r="A134" s="18" t="s">
        <v>250</v>
      </c>
      <c r="B134" s="22">
        <v>2105500</v>
      </c>
      <c r="C134" s="1">
        <v>43923</v>
      </c>
      <c r="D134" s="19">
        <v>5.2083333333333336E-2</v>
      </c>
      <c r="E134" s="22" t="s">
        <v>251</v>
      </c>
      <c r="F134" s="22">
        <v>5290</v>
      </c>
      <c r="G134" s="22" t="s">
        <v>252</v>
      </c>
      <c r="H134" s="22">
        <v>3.71</v>
      </c>
      <c r="I134" s="22" t="s">
        <v>252</v>
      </c>
      <c r="J134" s="22">
        <v>0</v>
      </c>
      <c r="K134" s="22" t="s">
        <v>253</v>
      </c>
      <c r="L134" s="5">
        <f t="shared" si="2"/>
        <v>899.99999999999977</v>
      </c>
      <c r="M134" s="21">
        <f t="shared" si="3"/>
        <v>35614660.499999993</v>
      </c>
    </row>
    <row r="135" spans="1:13">
      <c r="A135" s="18" t="s">
        <v>250</v>
      </c>
      <c r="B135" s="22">
        <v>2105500</v>
      </c>
      <c r="C135" s="1">
        <v>43923</v>
      </c>
      <c r="D135" s="19">
        <v>6.25E-2</v>
      </c>
      <c r="E135" s="22" t="s">
        <v>251</v>
      </c>
      <c r="F135" s="22">
        <v>5270</v>
      </c>
      <c r="G135" s="22" t="s">
        <v>252</v>
      </c>
      <c r="H135" s="22">
        <v>3.7</v>
      </c>
      <c r="I135" s="22" t="s">
        <v>252</v>
      </c>
      <c r="J135" s="22">
        <v>0</v>
      </c>
      <c r="K135" s="22" t="s">
        <v>253</v>
      </c>
      <c r="L135" s="5">
        <f t="shared" si="2"/>
        <v>900.00000000000045</v>
      </c>
      <c r="M135" s="21">
        <f t="shared" si="3"/>
        <v>35480011.500000022</v>
      </c>
    </row>
    <row r="136" spans="1:13">
      <c r="A136" s="18" t="s">
        <v>250</v>
      </c>
      <c r="B136" s="22">
        <v>2105500</v>
      </c>
      <c r="C136" s="1">
        <v>43923</v>
      </c>
      <c r="D136" s="19">
        <v>7.2916666666666671E-2</v>
      </c>
      <c r="E136" s="22" t="s">
        <v>251</v>
      </c>
      <c r="F136" s="22">
        <v>5270</v>
      </c>
      <c r="G136" s="22" t="s">
        <v>252</v>
      </c>
      <c r="H136" s="22">
        <v>3.7</v>
      </c>
      <c r="I136" s="22" t="s">
        <v>252</v>
      </c>
      <c r="J136" s="22">
        <v>0</v>
      </c>
      <c r="K136" s="22" t="s">
        <v>253</v>
      </c>
      <c r="L136" s="5">
        <f t="shared" si="2"/>
        <v>899.9999999999992</v>
      </c>
      <c r="M136" s="21">
        <f t="shared" si="3"/>
        <v>35480011.499999963</v>
      </c>
    </row>
    <row r="137" spans="1:13">
      <c r="A137" s="18" t="s">
        <v>250</v>
      </c>
      <c r="B137" s="22">
        <v>2105500</v>
      </c>
      <c r="C137" s="1">
        <v>43923</v>
      </c>
      <c r="D137" s="19">
        <v>8.3333333333333329E-2</v>
      </c>
      <c r="E137" s="22" t="s">
        <v>251</v>
      </c>
      <c r="F137" s="22">
        <v>5270</v>
      </c>
      <c r="G137" s="22" t="s">
        <v>252</v>
      </c>
      <c r="H137" s="22">
        <v>3.7</v>
      </c>
      <c r="I137" s="22" t="s">
        <v>252</v>
      </c>
      <c r="J137" s="22">
        <v>0</v>
      </c>
      <c r="K137" s="22" t="s">
        <v>253</v>
      </c>
      <c r="L137" s="5">
        <f t="shared" si="2"/>
        <v>900.00000000000045</v>
      </c>
      <c r="M137" s="21">
        <f t="shared" si="3"/>
        <v>35480011.500000022</v>
      </c>
    </row>
    <row r="138" spans="1:13">
      <c r="A138" s="18" t="s">
        <v>250</v>
      </c>
      <c r="B138" s="22">
        <v>2105500</v>
      </c>
      <c r="C138" s="1">
        <v>43923</v>
      </c>
      <c r="D138" s="19">
        <v>9.375E-2</v>
      </c>
      <c r="E138" s="22" t="s">
        <v>251</v>
      </c>
      <c r="F138" s="22">
        <v>5270</v>
      </c>
      <c r="G138" s="22" t="s">
        <v>252</v>
      </c>
      <c r="H138" s="22">
        <v>3.7</v>
      </c>
      <c r="I138" s="22" t="s">
        <v>252</v>
      </c>
      <c r="J138" s="22">
        <v>0</v>
      </c>
      <c r="K138" s="22" t="s">
        <v>253</v>
      </c>
      <c r="L138" s="5">
        <f t="shared" si="2"/>
        <v>900.00000000000045</v>
      </c>
      <c r="M138" s="21">
        <f t="shared" si="3"/>
        <v>35480011.500000022</v>
      </c>
    </row>
    <row r="139" spans="1:13">
      <c r="A139" s="18" t="s">
        <v>250</v>
      </c>
      <c r="B139" s="22">
        <v>2105500</v>
      </c>
      <c r="C139" s="1">
        <v>43923</v>
      </c>
      <c r="D139" s="19">
        <v>0.10416666666666667</v>
      </c>
      <c r="E139" s="22" t="s">
        <v>251</v>
      </c>
      <c r="F139" s="22">
        <v>5270</v>
      </c>
      <c r="G139" s="22" t="s">
        <v>252</v>
      </c>
      <c r="H139" s="22">
        <v>3.7</v>
      </c>
      <c r="I139" s="22" t="s">
        <v>252</v>
      </c>
      <c r="J139" s="22">
        <v>0</v>
      </c>
      <c r="K139" s="22" t="s">
        <v>253</v>
      </c>
      <c r="L139" s="5">
        <f t="shared" si="2"/>
        <v>899.9999999999992</v>
      </c>
      <c r="M139" s="21">
        <f t="shared" si="3"/>
        <v>35480011.499999963</v>
      </c>
    </row>
    <row r="140" spans="1:13">
      <c r="A140" s="18" t="s">
        <v>250</v>
      </c>
      <c r="B140" s="22">
        <v>2105500</v>
      </c>
      <c r="C140" s="1">
        <v>43923</v>
      </c>
      <c r="D140" s="19">
        <v>0.11458333333333333</v>
      </c>
      <c r="E140" s="22" t="s">
        <v>251</v>
      </c>
      <c r="F140" s="22">
        <v>5240</v>
      </c>
      <c r="G140" s="22" t="s">
        <v>252</v>
      </c>
      <c r="H140" s="22">
        <v>3.69</v>
      </c>
      <c r="I140" s="22" t="s">
        <v>252</v>
      </c>
      <c r="J140" s="22">
        <v>0</v>
      </c>
      <c r="K140" s="22" t="s">
        <v>253</v>
      </c>
      <c r="L140" s="5">
        <f t="shared" si="2"/>
        <v>900.00000000000045</v>
      </c>
      <c r="M140" s="21">
        <f t="shared" si="3"/>
        <v>35278038.000000022</v>
      </c>
    </row>
    <row r="141" spans="1:13">
      <c r="A141" s="18" t="s">
        <v>250</v>
      </c>
      <c r="B141" s="22">
        <v>2105500</v>
      </c>
      <c r="C141" s="1">
        <v>43923</v>
      </c>
      <c r="D141" s="19">
        <v>0.125</v>
      </c>
      <c r="E141" s="22" t="s">
        <v>251</v>
      </c>
      <c r="F141" s="22">
        <v>5240</v>
      </c>
      <c r="G141" s="22" t="s">
        <v>252</v>
      </c>
      <c r="H141" s="22">
        <v>3.69</v>
      </c>
      <c r="I141" s="22" t="s">
        <v>252</v>
      </c>
      <c r="J141" s="22">
        <v>0</v>
      </c>
      <c r="K141" s="22" t="s">
        <v>253</v>
      </c>
      <c r="L141" s="5">
        <f t="shared" si="2"/>
        <v>899.9999999999992</v>
      </c>
      <c r="M141" s="21">
        <f t="shared" si="3"/>
        <v>35278037.99999997</v>
      </c>
    </row>
    <row r="142" spans="1:13">
      <c r="A142" s="18" t="s">
        <v>250</v>
      </c>
      <c r="B142" s="22">
        <v>2105500</v>
      </c>
      <c r="C142" s="1">
        <v>43923</v>
      </c>
      <c r="D142" s="19">
        <v>0.13541666666666666</v>
      </c>
      <c r="E142" s="22" t="s">
        <v>251</v>
      </c>
      <c r="F142" s="22">
        <v>5240</v>
      </c>
      <c r="G142" s="22" t="s">
        <v>252</v>
      </c>
      <c r="H142" s="22">
        <v>3.69</v>
      </c>
      <c r="I142" s="22" t="s">
        <v>252</v>
      </c>
      <c r="J142" s="22">
        <v>0</v>
      </c>
      <c r="K142" s="22" t="s">
        <v>253</v>
      </c>
      <c r="L142" s="5">
        <f t="shared" si="2"/>
        <v>900.00000000000159</v>
      </c>
      <c r="M142" s="21">
        <f t="shared" si="3"/>
        <v>35278038.000000067</v>
      </c>
    </row>
    <row r="143" spans="1:13">
      <c r="A143" s="18" t="s">
        <v>250</v>
      </c>
      <c r="B143" s="22">
        <v>2105500</v>
      </c>
      <c r="C143" s="1">
        <v>43923</v>
      </c>
      <c r="D143" s="19">
        <v>0.14583333333333334</v>
      </c>
      <c r="E143" s="22" t="s">
        <v>251</v>
      </c>
      <c r="F143" s="22">
        <v>5240</v>
      </c>
      <c r="G143" s="22" t="s">
        <v>252</v>
      </c>
      <c r="H143" s="22">
        <v>3.69</v>
      </c>
      <c r="I143" s="22" t="s">
        <v>252</v>
      </c>
      <c r="J143" s="22">
        <v>0</v>
      </c>
      <c r="K143" s="22" t="s">
        <v>253</v>
      </c>
      <c r="L143" s="5">
        <f t="shared" si="2"/>
        <v>899.9999999999992</v>
      </c>
      <c r="M143" s="21">
        <f t="shared" si="3"/>
        <v>35278037.99999997</v>
      </c>
    </row>
    <row r="144" spans="1:13">
      <c r="A144" s="18" t="s">
        <v>250</v>
      </c>
      <c r="B144" s="22">
        <v>2105500</v>
      </c>
      <c r="C144" s="1">
        <v>43923</v>
      </c>
      <c r="D144" s="19">
        <v>0.15625</v>
      </c>
      <c r="E144" s="22" t="s">
        <v>251</v>
      </c>
      <c r="F144" s="22">
        <v>5220</v>
      </c>
      <c r="G144" s="22" t="s">
        <v>252</v>
      </c>
      <c r="H144" s="22">
        <v>3.68</v>
      </c>
      <c r="I144" s="22" t="s">
        <v>252</v>
      </c>
      <c r="J144" s="22">
        <v>0</v>
      </c>
      <c r="K144" s="22" t="s">
        <v>253</v>
      </c>
      <c r="L144" s="5">
        <f t="shared" si="2"/>
        <v>899.9999999999992</v>
      </c>
      <c r="M144" s="21">
        <f t="shared" si="3"/>
        <v>35143388.99999997</v>
      </c>
    </row>
    <row r="145" spans="1:13">
      <c r="A145" s="18" t="s">
        <v>250</v>
      </c>
      <c r="B145" s="22">
        <v>2105500</v>
      </c>
      <c r="C145" s="1">
        <v>43923</v>
      </c>
      <c r="D145" s="19">
        <v>0.16666666666666666</v>
      </c>
      <c r="E145" s="22" t="s">
        <v>251</v>
      </c>
      <c r="F145" s="22">
        <v>5220</v>
      </c>
      <c r="G145" s="22" t="s">
        <v>252</v>
      </c>
      <c r="H145" s="22">
        <v>3.68</v>
      </c>
      <c r="I145" s="22" t="s">
        <v>252</v>
      </c>
      <c r="J145" s="22">
        <v>0</v>
      </c>
      <c r="K145" s="22" t="s">
        <v>253</v>
      </c>
      <c r="L145" s="5">
        <f t="shared" si="2"/>
        <v>900.00000000000159</v>
      </c>
      <c r="M145" s="21">
        <f t="shared" si="3"/>
        <v>35143389.000000067</v>
      </c>
    </row>
    <row r="146" spans="1:13">
      <c r="A146" s="18" t="s">
        <v>250</v>
      </c>
      <c r="B146" s="22">
        <v>2105500</v>
      </c>
      <c r="C146" s="1">
        <v>43923</v>
      </c>
      <c r="D146" s="19">
        <v>0.17708333333333334</v>
      </c>
      <c r="E146" s="22" t="s">
        <v>251</v>
      </c>
      <c r="F146" s="22">
        <v>5190</v>
      </c>
      <c r="G146" s="22" t="s">
        <v>252</v>
      </c>
      <c r="H146" s="22">
        <v>3.67</v>
      </c>
      <c r="I146" s="22" t="s">
        <v>252</v>
      </c>
      <c r="J146" s="22">
        <v>0</v>
      </c>
      <c r="K146" s="22" t="s">
        <v>253</v>
      </c>
      <c r="L146" s="5">
        <f t="shared" si="2"/>
        <v>899.9999999999992</v>
      </c>
      <c r="M146" s="21">
        <f t="shared" si="3"/>
        <v>34941415.49999997</v>
      </c>
    </row>
    <row r="147" spans="1:13">
      <c r="A147" s="18" t="s">
        <v>250</v>
      </c>
      <c r="B147" s="22">
        <v>2105500</v>
      </c>
      <c r="C147" s="1">
        <v>43923</v>
      </c>
      <c r="D147" s="19">
        <v>0.1875</v>
      </c>
      <c r="E147" s="22" t="s">
        <v>251</v>
      </c>
      <c r="F147" s="22">
        <v>5190</v>
      </c>
      <c r="G147" s="22" t="s">
        <v>252</v>
      </c>
      <c r="H147" s="22">
        <v>3.67</v>
      </c>
      <c r="I147" s="22" t="s">
        <v>252</v>
      </c>
      <c r="J147" s="22">
        <v>0</v>
      </c>
      <c r="K147" s="22" t="s">
        <v>253</v>
      </c>
      <c r="L147" s="5">
        <f t="shared" si="2"/>
        <v>899.9999999999992</v>
      </c>
      <c r="M147" s="21">
        <f t="shared" si="3"/>
        <v>34941415.49999997</v>
      </c>
    </row>
    <row r="148" spans="1:13">
      <c r="A148" s="18" t="s">
        <v>250</v>
      </c>
      <c r="B148" s="22">
        <v>2105500</v>
      </c>
      <c r="C148" s="1">
        <v>43923</v>
      </c>
      <c r="D148" s="19">
        <v>0.19791666666666666</v>
      </c>
      <c r="E148" s="22" t="s">
        <v>251</v>
      </c>
      <c r="F148" s="22">
        <v>5190</v>
      </c>
      <c r="G148" s="22" t="s">
        <v>252</v>
      </c>
      <c r="H148" s="22">
        <v>3.67</v>
      </c>
      <c r="I148" s="22" t="s">
        <v>252</v>
      </c>
      <c r="J148" s="22">
        <v>0</v>
      </c>
      <c r="K148" s="22" t="s">
        <v>253</v>
      </c>
      <c r="L148" s="5">
        <f t="shared" si="2"/>
        <v>900.00000000000159</v>
      </c>
      <c r="M148" s="21">
        <f t="shared" si="3"/>
        <v>34941415.500000067</v>
      </c>
    </row>
    <row r="149" spans="1:13">
      <c r="A149" s="18" t="s">
        <v>250</v>
      </c>
      <c r="B149" s="22">
        <v>2105500</v>
      </c>
      <c r="C149" s="1">
        <v>43923</v>
      </c>
      <c r="D149" s="19">
        <v>0.20833333333333334</v>
      </c>
      <c r="E149" s="22" t="s">
        <v>251</v>
      </c>
      <c r="F149" s="22">
        <v>5170</v>
      </c>
      <c r="G149" s="22" t="s">
        <v>252</v>
      </c>
      <c r="H149" s="22">
        <v>3.66</v>
      </c>
      <c r="I149" s="22" t="s">
        <v>252</v>
      </c>
      <c r="J149" s="22">
        <v>0</v>
      </c>
      <c r="K149" s="22" t="s">
        <v>253</v>
      </c>
      <c r="L149" s="5">
        <f t="shared" si="2"/>
        <v>899.9999999999992</v>
      </c>
      <c r="M149" s="21">
        <f t="shared" si="3"/>
        <v>34806766.49999997</v>
      </c>
    </row>
    <row r="150" spans="1:13">
      <c r="A150" s="18" t="s">
        <v>250</v>
      </c>
      <c r="B150" s="22">
        <v>2105500</v>
      </c>
      <c r="C150" s="1">
        <v>43923</v>
      </c>
      <c r="D150" s="19">
        <v>0.21875</v>
      </c>
      <c r="E150" s="22" t="s">
        <v>251</v>
      </c>
      <c r="F150" s="22">
        <v>5170</v>
      </c>
      <c r="G150" s="22" t="s">
        <v>252</v>
      </c>
      <c r="H150" s="22">
        <v>3.66</v>
      </c>
      <c r="I150" s="22" t="s">
        <v>252</v>
      </c>
      <c r="J150" s="22">
        <v>0</v>
      </c>
      <c r="K150" s="22" t="s">
        <v>253</v>
      </c>
      <c r="L150" s="5">
        <f t="shared" si="2"/>
        <v>899.9999999999992</v>
      </c>
      <c r="M150" s="21">
        <f t="shared" si="3"/>
        <v>34806766.49999997</v>
      </c>
    </row>
    <row r="151" spans="1:13">
      <c r="A151" s="18" t="s">
        <v>250</v>
      </c>
      <c r="B151" s="22">
        <v>2105500</v>
      </c>
      <c r="C151" s="1">
        <v>43923</v>
      </c>
      <c r="D151" s="19">
        <v>0.22916666666666666</v>
      </c>
      <c r="E151" s="22" t="s">
        <v>251</v>
      </c>
      <c r="F151" s="22">
        <v>5170</v>
      </c>
      <c r="G151" s="22" t="s">
        <v>252</v>
      </c>
      <c r="H151" s="22">
        <v>3.66</v>
      </c>
      <c r="I151" s="22" t="s">
        <v>252</v>
      </c>
      <c r="J151" s="22">
        <v>0</v>
      </c>
      <c r="K151" s="22" t="s">
        <v>253</v>
      </c>
      <c r="L151" s="5">
        <f t="shared" si="2"/>
        <v>900.00000000000159</v>
      </c>
      <c r="M151" s="21">
        <f t="shared" si="3"/>
        <v>34806766.500000067</v>
      </c>
    </row>
    <row r="152" spans="1:13">
      <c r="A152" s="18" t="s">
        <v>250</v>
      </c>
      <c r="B152" s="22">
        <v>2105500</v>
      </c>
      <c r="C152" s="1">
        <v>43923</v>
      </c>
      <c r="D152" s="19">
        <v>0.23958333333333334</v>
      </c>
      <c r="E152" s="22" t="s">
        <v>251</v>
      </c>
      <c r="F152" s="22">
        <v>5140</v>
      </c>
      <c r="G152" s="22" t="s">
        <v>252</v>
      </c>
      <c r="H152" s="22">
        <v>3.65</v>
      </c>
      <c r="I152" s="22" t="s">
        <v>252</v>
      </c>
      <c r="J152" s="22">
        <v>0</v>
      </c>
      <c r="K152" s="22" t="s">
        <v>253</v>
      </c>
      <c r="L152" s="5">
        <f t="shared" si="2"/>
        <v>899.9999999999992</v>
      </c>
      <c r="M152" s="21">
        <f t="shared" si="3"/>
        <v>34604792.99999997</v>
      </c>
    </row>
    <row r="153" spans="1:13">
      <c r="A153" s="18" t="s">
        <v>250</v>
      </c>
      <c r="B153" s="22">
        <v>2105500</v>
      </c>
      <c r="C153" s="1">
        <v>43923</v>
      </c>
      <c r="D153" s="19">
        <v>0.25</v>
      </c>
      <c r="E153" s="22" t="s">
        <v>251</v>
      </c>
      <c r="F153" s="22">
        <v>5140</v>
      </c>
      <c r="G153" s="22" t="s">
        <v>252</v>
      </c>
      <c r="H153" s="22">
        <v>3.65</v>
      </c>
      <c r="I153" s="22" t="s">
        <v>252</v>
      </c>
      <c r="J153" s="22">
        <v>0</v>
      </c>
      <c r="K153" s="22" t="s">
        <v>253</v>
      </c>
      <c r="L153" s="5">
        <f t="shared" si="2"/>
        <v>900.00000000000159</v>
      </c>
      <c r="M153" s="21">
        <f t="shared" si="3"/>
        <v>34604793.000000067</v>
      </c>
    </row>
    <row r="154" spans="1:13">
      <c r="A154" s="18" t="s">
        <v>250</v>
      </c>
      <c r="B154" s="22">
        <v>2105500</v>
      </c>
      <c r="C154" s="1">
        <v>43923</v>
      </c>
      <c r="D154" s="19">
        <v>0.26041666666666669</v>
      </c>
      <c r="E154" s="22" t="s">
        <v>251</v>
      </c>
      <c r="F154" s="22">
        <v>5110</v>
      </c>
      <c r="G154" s="22" t="s">
        <v>252</v>
      </c>
      <c r="H154" s="22">
        <v>3.64</v>
      </c>
      <c r="I154" s="22" t="s">
        <v>252</v>
      </c>
      <c r="J154" s="22">
        <v>0</v>
      </c>
      <c r="K154" s="22" t="s">
        <v>253</v>
      </c>
      <c r="L154" s="5">
        <f t="shared" si="2"/>
        <v>899.99999999999682</v>
      </c>
      <c r="M154" s="21">
        <f t="shared" si="3"/>
        <v>34402819.499999881</v>
      </c>
    </row>
    <row r="155" spans="1:13">
      <c r="A155" s="18" t="s">
        <v>250</v>
      </c>
      <c r="B155" s="22">
        <v>2105500</v>
      </c>
      <c r="C155" s="1">
        <v>43923</v>
      </c>
      <c r="D155" s="19">
        <v>0.27083333333333331</v>
      </c>
      <c r="E155" s="22" t="s">
        <v>251</v>
      </c>
      <c r="F155" s="22">
        <v>5110</v>
      </c>
      <c r="G155" s="22" t="s">
        <v>252</v>
      </c>
      <c r="H155" s="22">
        <v>3.64</v>
      </c>
      <c r="I155" s="22" t="s">
        <v>252</v>
      </c>
      <c r="J155" s="22">
        <v>0</v>
      </c>
      <c r="K155" s="22" t="s">
        <v>253</v>
      </c>
      <c r="L155" s="5">
        <f t="shared" si="2"/>
        <v>900.00000000000159</v>
      </c>
      <c r="M155" s="21">
        <f t="shared" si="3"/>
        <v>34402819.500000067</v>
      </c>
    </row>
    <row r="156" spans="1:13">
      <c r="A156" s="18" t="s">
        <v>250</v>
      </c>
      <c r="B156" s="22">
        <v>2105500</v>
      </c>
      <c r="C156" s="1">
        <v>43923</v>
      </c>
      <c r="D156" s="19">
        <v>0.28125</v>
      </c>
      <c r="E156" s="22" t="s">
        <v>251</v>
      </c>
      <c r="F156" s="22">
        <v>5090</v>
      </c>
      <c r="G156" s="22" t="s">
        <v>252</v>
      </c>
      <c r="H156" s="22">
        <v>3.63</v>
      </c>
      <c r="I156" s="22" t="s">
        <v>252</v>
      </c>
      <c r="J156" s="22">
        <v>0</v>
      </c>
      <c r="K156" s="22" t="s">
        <v>253</v>
      </c>
      <c r="L156" s="5">
        <f t="shared" si="2"/>
        <v>900.00000000000159</v>
      </c>
      <c r="M156" s="21">
        <f t="shared" si="3"/>
        <v>34268170.500000067</v>
      </c>
    </row>
    <row r="157" spans="1:13">
      <c r="A157" s="18" t="s">
        <v>250</v>
      </c>
      <c r="B157" s="22">
        <v>2105500</v>
      </c>
      <c r="C157" s="1">
        <v>43923</v>
      </c>
      <c r="D157" s="19">
        <v>0.29166666666666669</v>
      </c>
      <c r="E157" s="22" t="s">
        <v>251</v>
      </c>
      <c r="F157" s="22">
        <v>5090</v>
      </c>
      <c r="G157" s="22" t="s">
        <v>252</v>
      </c>
      <c r="H157" s="22">
        <v>3.63</v>
      </c>
      <c r="I157" s="22" t="s">
        <v>252</v>
      </c>
      <c r="J157" s="22">
        <v>0</v>
      </c>
      <c r="K157" s="22" t="s">
        <v>253</v>
      </c>
      <c r="L157" s="5">
        <f t="shared" si="2"/>
        <v>899.99999999999682</v>
      </c>
      <c r="M157" s="21">
        <f t="shared" si="3"/>
        <v>34268170.499999881</v>
      </c>
    </row>
    <row r="158" spans="1:13">
      <c r="A158" s="18" t="s">
        <v>250</v>
      </c>
      <c r="B158" s="22">
        <v>2105500</v>
      </c>
      <c r="C158" s="1">
        <v>43923</v>
      </c>
      <c r="D158" s="19">
        <v>0.30208333333333331</v>
      </c>
      <c r="E158" s="22" t="s">
        <v>251</v>
      </c>
      <c r="F158" s="22">
        <v>5040</v>
      </c>
      <c r="G158" s="22" t="s">
        <v>252</v>
      </c>
      <c r="H158" s="22">
        <v>3.61</v>
      </c>
      <c r="I158" s="22" t="s">
        <v>252</v>
      </c>
      <c r="J158" s="22">
        <v>0</v>
      </c>
      <c r="K158" s="22" t="s">
        <v>253</v>
      </c>
      <c r="L158" s="5">
        <f t="shared" si="2"/>
        <v>900.00000000000159</v>
      </c>
      <c r="M158" s="21">
        <f t="shared" si="3"/>
        <v>33931548.000000067</v>
      </c>
    </row>
    <row r="159" spans="1:13">
      <c r="A159" s="18" t="s">
        <v>250</v>
      </c>
      <c r="B159" s="22">
        <v>2105500</v>
      </c>
      <c r="C159" s="1">
        <v>43923</v>
      </c>
      <c r="D159" s="19">
        <v>0.3125</v>
      </c>
      <c r="E159" s="22" t="s">
        <v>251</v>
      </c>
      <c r="F159" s="22">
        <v>5010</v>
      </c>
      <c r="G159" s="22" t="s">
        <v>252</v>
      </c>
      <c r="H159" s="22">
        <v>3.6</v>
      </c>
      <c r="I159" s="22" t="s">
        <v>252</v>
      </c>
      <c r="J159" s="22">
        <v>0</v>
      </c>
      <c r="K159" s="22" t="s">
        <v>253</v>
      </c>
      <c r="L159" s="5">
        <f t="shared" si="2"/>
        <v>900.00000000000159</v>
      </c>
      <c r="M159" s="21">
        <f t="shared" si="3"/>
        <v>33729574.500000067</v>
      </c>
    </row>
    <row r="160" spans="1:13">
      <c r="A160" s="18" t="s">
        <v>250</v>
      </c>
      <c r="B160" s="22">
        <v>2105500</v>
      </c>
      <c r="C160" s="1">
        <v>43923</v>
      </c>
      <c r="D160" s="19">
        <v>0.32291666666666669</v>
      </c>
      <c r="E160" s="22" t="s">
        <v>251</v>
      </c>
      <c r="F160" s="22">
        <v>5010</v>
      </c>
      <c r="G160" s="22" t="s">
        <v>252</v>
      </c>
      <c r="H160" s="22">
        <v>3.6</v>
      </c>
      <c r="I160" s="22" t="s">
        <v>252</v>
      </c>
      <c r="J160" s="22">
        <v>0</v>
      </c>
      <c r="K160" s="22" t="s">
        <v>253</v>
      </c>
      <c r="L160" s="5">
        <f t="shared" si="2"/>
        <v>899.99999999999682</v>
      </c>
      <c r="M160" s="21">
        <f t="shared" si="3"/>
        <v>33729574.499999881</v>
      </c>
    </row>
    <row r="161" spans="1:13">
      <c r="A161" s="18" t="s">
        <v>250</v>
      </c>
      <c r="B161" s="22">
        <v>2105500</v>
      </c>
      <c r="C161" s="1">
        <v>43923</v>
      </c>
      <c r="D161" s="19">
        <v>0.33333333333333331</v>
      </c>
      <c r="E161" s="22" t="s">
        <v>251</v>
      </c>
      <c r="F161" s="22">
        <v>4990</v>
      </c>
      <c r="G161" s="22" t="s">
        <v>252</v>
      </c>
      <c r="H161" s="22">
        <v>3.59</v>
      </c>
      <c r="I161" s="22" t="s">
        <v>252</v>
      </c>
      <c r="J161" s="22">
        <v>0</v>
      </c>
      <c r="K161" s="22" t="s">
        <v>253</v>
      </c>
      <c r="L161" s="5">
        <f t="shared" si="2"/>
        <v>900.00000000000159</v>
      </c>
      <c r="M161" s="21">
        <f t="shared" si="3"/>
        <v>33594925.500000067</v>
      </c>
    </row>
    <row r="162" spans="1:13">
      <c r="A162" s="18" t="s">
        <v>250</v>
      </c>
      <c r="B162" s="22">
        <v>2105500</v>
      </c>
      <c r="C162" s="1">
        <v>43923</v>
      </c>
      <c r="D162" s="19">
        <v>0.34375</v>
      </c>
      <c r="E162" s="22" t="s">
        <v>251</v>
      </c>
      <c r="F162" s="22">
        <v>4960</v>
      </c>
      <c r="G162" s="22" t="s">
        <v>252</v>
      </c>
      <c r="H162" s="22">
        <v>3.58</v>
      </c>
      <c r="I162" s="22" t="s">
        <v>252</v>
      </c>
      <c r="J162" s="22">
        <v>0</v>
      </c>
      <c r="K162" s="22" t="s">
        <v>253</v>
      </c>
      <c r="L162" s="5">
        <f t="shared" ref="L162:L225" si="4">CONVERT((D163-D162),"day","sec")</f>
        <v>900.00000000000159</v>
      </c>
      <c r="M162" s="21">
        <f t="shared" ref="M162:M225" si="5">F162*L162*7.4805</f>
        <v>33392952.000000056</v>
      </c>
    </row>
    <row r="163" spans="1:13">
      <c r="A163" s="18" t="s">
        <v>250</v>
      </c>
      <c r="B163" s="22">
        <v>2105500</v>
      </c>
      <c r="C163" s="1">
        <v>43923</v>
      </c>
      <c r="D163" s="19">
        <v>0.35416666666666669</v>
      </c>
      <c r="E163" s="22" t="s">
        <v>251</v>
      </c>
      <c r="F163" s="22">
        <v>4940</v>
      </c>
      <c r="G163" s="22" t="s">
        <v>252</v>
      </c>
      <c r="H163" s="22">
        <v>3.57</v>
      </c>
      <c r="I163" s="22" t="s">
        <v>252</v>
      </c>
      <c r="J163" s="22">
        <v>0</v>
      </c>
      <c r="K163" s="22" t="s">
        <v>253</v>
      </c>
      <c r="L163" s="5">
        <f t="shared" si="4"/>
        <v>899.99999999999682</v>
      </c>
      <c r="M163" s="21">
        <f t="shared" si="5"/>
        <v>33258302.999999881</v>
      </c>
    </row>
    <row r="164" spans="1:13">
      <c r="A164" s="18" t="s">
        <v>250</v>
      </c>
      <c r="B164" s="22">
        <v>2105500</v>
      </c>
      <c r="C164" s="1">
        <v>43923</v>
      </c>
      <c r="D164" s="19">
        <v>0.36458333333333331</v>
      </c>
      <c r="E164" s="22" t="s">
        <v>251</v>
      </c>
      <c r="F164" s="22">
        <v>4940</v>
      </c>
      <c r="G164" s="22" t="s">
        <v>252</v>
      </c>
      <c r="H164" s="22">
        <v>3.57</v>
      </c>
      <c r="I164" s="22" t="s">
        <v>252</v>
      </c>
      <c r="J164" s="22">
        <v>0</v>
      </c>
      <c r="K164" s="22" t="s">
        <v>253</v>
      </c>
      <c r="L164" s="5">
        <f t="shared" si="4"/>
        <v>900.00000000000159</v>
      </c>
      <c r="M164" s="21">
        <f t="shared" si="5"/>
        <v>33258303.000000056</v>
      </c>
    </row>
    <row r="165" spans="1:13">
      <c r="A165" s="18" t="s">
        <v>250</v>
      </c>
      <c r="B165" s="22">
        <v>2105500</v>
      </c>
      <c r="C165" s="1">
        <v>43923</v>
      </c>
      <c r="D165" s="19">
        <v>0.375</v>
      </c>
      <c r="E165" s="22" t="s">
        <v>251</v>
      </c>
      <c r="F165" s="22">
        <v>4910</v>
      </c>
      <c r="G165" s="22" t="s">
        <v>252</v>
      </c>
      <c r="H165" s="22">
        <v>3.56</v>
      </c>
      <c r="I165" s="22" t="s">
        <v>252</v>
      </c>
      <c r="J165" s="22">
        <v>0</v>
      </c>
      <c r="K165" s="22" t="s">
        <v>253</v>
      </c>
      <c r="L165" s="5">
        <f t="shared" si="4"/>
        <v>900.00000000000159</v>
      </c>
      <c r="M165" s="21">
        <f t="shared" si="5"/>
        <v>33056329.500000056</v>
      </c>
    </row>
    <row r="166" spans="1:13">
      <c r="A166" s="18" t="s">
        <v>250</v>
      </c>
      <c r="B166" s="22">
        <v>2105500</v>
      </c>
      <c r="C166" s="1">
        <v>43923</v>
      </c>
      <c r="D166" s="19">
        <v>0.38541666666666669</v>
      </c>
      <c r="E166" s="22" t="s">
        <v>251</v>
      </c>
      <c r="F166" s="22">
        <v>4910</v>
      </c>
      <c r="G166" s="22" t="s">
        <v>252</v>
      </c>
      <c r="H166" s="22">
        <v>3.56</v>
      </c>
      <c r="I166" s="22" t="s">
        <v>252</v>
      </c>
      <c r="J166" s="22">
        <v>0</v>
      </c>
      <c r="K166" s="22" t="s">
        <v>253</v>
      </c>
      <c r="L166" s="5">
        <f t="shared" si="4"/>
        <v>899.99999999999682</v>
      </c>
      <c r="M166" s="21">
        <f t="shared" si="5"/>
        <v>33056329.499999881</v>
      </c>
    </row>
    <row r="167" spans="1:13">
      <c r="A167" s="18" t="s">
        <v>250</v>
      </c>
      <c r="B167" s="22">
        <v>2105500</v>
      </c>
      <c r="C167" s="1">
        <v>43923</v>
      </c>
      <c r="D167" s="19">
        <v>0.39583333333333331</v>
      </c>
      <c r="E167" s="22" t="s">
        <v>251</v>
      </c>
      <c r="F167" s="22">
        <v>4860</v>
      </c>
      <c r="G167" s="22" t="s">
        <v>252</v>
      </c>
      <c r="H167" s="22">
        <v>3.54</v>
      </c>
      <c r="I167" s="22" t="s">
        <v>252</v>
      </c>
      <c r="J167" s="22">
        <v>0</v>
      </c>
      <c r="K167" s="22" t="s">
        <v>253</v>
      </c>
      <c r="L167" s="5">
        <f t="shared" si="4"/>
        <v>900.00000000000159</v>
      </c>
      <c r="M167" s="21">
        <f t="shared" si="5"/>
        <v>32719707.000000056</v>
      </c>
    </row>
    <row r="168" spans="1:13">
      <c r="A168" s="18" t="s">
        <v>250</v>
      </c>
      <c r="B168" s="22">
        <v>2105500</v>
      </c>
      <c r="C168" s="1">
        <v>43923</v>
      </c>
      <c r="D168" s="19">
        <v>0.40625</v>
      </c>
      <c r="E168" s="22" t="s">
        <v>251</v>
      </c>
      <c r="F168" s="22">
        <v>4840</v>
      </c>
      <c r="G168" s="22" t="s">
        <v>252</v>
      </c>
      <c r="H168" s="22">
        <v>3.53</v>
      </c>
      <c r="I168" s="22" t="s">
        <v>252</v>
      </c>
      <c r="J168" s="22">
        <v>0</v>
      </c>
      <c r="K168" s="22" t="s">
        <v>253</v>
      </c>
      <c r="L168" s="5">
        <f t="shared" si="4"/>
        <v>900.00000000000159</v>
      </c>
      <c r="M168" s="21">
        <f t="shared" si="5"/>
        <v>32585058.000000056</v>
      </c>
    </row>
    <row r="169" spans="1:13">
      <c r="A169" s="18" t="s">
        <v>250</v>
      </c>
      <c r="B169" s="22">
        <v>2105500</v>
      </c>
      <c r="C169" s="1">
        <v>43923</v>
      </c>
      <c r="D169" s="19">
        <v>0.41666666666666669</v>
      </c>
      <c r="E169" s="22" t="s">
        <v>251</v>
      </c>
      <c r="F169" s="22">
        <v>4860</v>
      </c>
      <c r="G169" s="22" t="s">
        <v>252</v>
      </c>
      <c r="H169" s="22">
        <v>3.54</v>
      </c>
      <c r="I169" s="22" t="s">
        <v>252</v>
      </c>
      <c r="J169" s="22">
        <v>0</v>
      </c>
      <c r="K169" s="22" t="s">
        <v>253</v>
      </c>
      <c r="L169" s="5">
        <f t="shared" si="4"/>
        <v>899.99999999999682</v>
      </c>
      <c r="M169" s="21">
        <f t="shared" si="5"/>
        <v>32719706.999999881</v>
      </c>
    </row>
    <row r="170" spans="1:13">
      <c r="A170" s="18" t="s">
        <v>250</v>
      </c>
      <c r="B170" s="22">
        <v>2105500</v>
      </c>
      <c r="C170" s="1">
        <v>43923</v>
      </c>
      <c r="D170" s="19">
        <v>0.42708333333333331</v>
      </c>
      <c r="E170" s="22" t="s">
        <v>251</v>
      </c>
      <c r="F170" s="22">
        <v>4840</v>
      </c>
      <c r="G170" s="22" t="s">
        <v>252</v>
      </c>
      <c r="H170" s="22">
        <v>3.53</v>
      </c>
      <c r="I170" s="22" t="s">
        <v>252</v>
      </c>
      <c r="J170" s="22">
        <v>0</v>
      </c>
      <c r="K170" s="22" t="s">
        <v>253</v>
      </c>
      <c r="L170" s="5">
        <f t="shared" si="4"/>
        <v>900.00000000000159</v>
      </c>
      <c r="M170" s="21">
        <f t="shared" si="5"/>
        <v>32585058.000000056</v>
      </c>
    </row>
    <row r="171" spans="1:13">
      <c r="A171" s="18" t="s">
        <v>250</v>
      </c>
      <c r="B171" s="22">
        <v>2105500</v>
      </c>
      <c r="C171" s="1">
        <v>43923</v>
      </c>
      <c r="D171" s="19">
        <v>0.4375</v>
      </c>
      <c r="E171" s="22" t="s">
        <v>251</v>
      </c>
      <c r="F171" s="22">
        <v>4790</v>
      </c>
      <c r="G171" s="22" t="s">
        <v>252</v>
      </c>
      <c r="H171" s="22">
        <v>3.51</v>
      </c>
      <c r="I171" s="22" t="s">
        <v>252</v>
      </c>
      <c r="J171" s="22">
        <v>0</v>
      </c>
      <c r="K171" s="22" t="s">
        <v>253</v>
      </c>
      <c r="L171" s="5">
        <f t="shared" si="4"/>
        <v>900.00000000000159</v>
      </c>
      <c r="M171" s="21">
        <f t="shared" si="5"/>
        <v>32248435.500000056</v>
      </c>
    </row>
    <row r="172" spans="1:13">
      <c r="A172" s="18" t="s">
        <v>250</v>
      </c>
      <c r="B172" s="22">
        <v>2105500</v>
      </c>
      <c r="C172" s="1">
        <v>43923</v>
      </c>
      <c r="D172" s="19">
        <v>0.44791666666666669</v>
      </c>
      <c r="E172" s="22" t="s">
        <v>251</v>
      </c>
      <c r="F172" s="22">
        <v>4740</v>
      </c>
      <c r="G172" s="22" t="s">
        <v>252</v>
      </c>
      <c r="H172" s="22">
        <v>3.49</v>
      </c>
      <c r="I172" s="22" t="s">
        <v>252</v>
      </c>
      <c r="J172" s="22">
        <v>0</v>
      </c>
      <c r="K172" s="22" t="s">
        <v>253</v>
      </c>
      <c r="L172" s="5">
        <f t="shared" si="4"/>
        <v>899.99999999999682</v>
      </c>
      <c r="M172" s="21">
        <f t="shared" si="5"/>
        <v>31911812.999999888</v>
      </c>
    </row>
    <row r="173" spans="1:13">
      <c r="A173" s="18" t="s">
        <v>250</v>
      </c>
      <c r="B173" s="22">
        <v>2105500</v>
      </c>
      <c r="C173" s="1">
        <v>43923</v>
      </c>
      <c r="D173" s="19">
        <v>0.45833333333333331</v>
      </c>
      <c r="E173" s="22" t="s">
        <v>251</v>
      </c>
      <c r="F173" s="22">
        <v>4770</v>
      </c>
      <c r="G173" s="22" t="s">
        <v>252</v>
      </c>
      <c r="H173" s="22">
        <v>3.5</v>
      </c>
      <c r="I173" s="22" t="s">
        <v>252</v>
      </c>
      <c r="J173" s="22">
        <v>0</v>
      </c>
      <c r="K173" s="22" t="s">
        <v>253</v>
      </c>
      <c r="L173" s="5">
        <f t="shared" si="4"/>
        <v>900.00000000000159</v>
      </c>
      <c r="M173" s="21">
        <f t="shared" si="5"/>
        <v>32113786.500000056</v>
      </c>
    </row>
    <row r="174" spans="1:13">
      <c r="A174" s="18" t="s">
        <v>250</v>
      </c>
      <c r="B174" s="22">
        <v>2105500</v>
      </c>
      <c r="C174" s="1">
        <v>43923</v>
      </c>
      <c r="D174" s="19">
        <v>0.46875</v>
      </c>
      <c r="E174" s="22" t="s">
        <v>251</v>
      </c>
      <c r="F174" s="22">
        <v>4740</v>
      </c>
      <c r="G174" s="22" t="s">
        <v>252</v>
      </c>
      <c r="H174" s="22">
        <v>3.49</v>
      </c>
      <c r="I174" s="22" t="s">
        <v>252</v>
      </c>
      <c r="J174" s="22">
        <v>0</v>
      </c>
      <c r="K174" s="22" t="s">
        <v>253</v>
      </c>
      <c r="L174" s="5">
        <f t="shared" si="4"/>
        <v>900.00000000000159</v>
      </c>
      <c r="M174" s="21">
        <f t="shared" si="5"/>
        <v>31911813.000000056</v>
      </c>
    </row>
    <row r="175" spans="1:13">
      <c r="A175" s="18" t="s">
        <v>250</v>
      </c>
      <c r="B175" s="22">
        <v>2105500</v>
      </c>
      <c r="C175" s="1">
        <v>43923</v>
      </c>
      <c r="D175" s="19">
        <v>0.47916666666666669</v>
      </c>
      <c r="E175" s="22" t="s">
        <v>251</v>
      </c>
      <c r="F175" s="22">
        <v>4690</v>
      </c>
      <c r="G175" s="22" t="s">
        <v>252</v>
      </c>
      <c r="H175" s="22">
        <v>3.47</v>
      </c>
      <c r="I175" s="22" t="s">
        <v>252</v>
      </c>
      <c r="J175" s="22">
        <v>0</v>
      </c>
      <c r="K175" s="22" t="s">
        <v>253</v>
      </c>
      <c r="L175" s="5">
        <f t="shared" si="4"/>
        <v>899.99999999999682</v>
      </c>
      <c r="M175" s="21">
        <f t="shared" si="5"/>
        <v>31575190.499999888</v>
      </c>
    </row>
    <row r="176" spans="1:13">
      <c r="A176" s="18" t="s">
        <v>250</v>
      </c>
      <c r="B176" s="22">
        <v>2105500</v>
      </c>
      <c r="C176" s="1">
        <v>43923</v>
      </c>
      <c r="D176" s="19">
        <v>0.48958333333333331</v>
      </c>
      <c r="E176" s="22" t="s">
        <v>251</v>
      </c>
      <c r="F176" s="22">
        <v>4690</v>
      </c>
      <c r="G176" s="22" t="s">
        <v>252</v>
      </c>
      <c r="H176" s="22">
        <v>3.47</v>
      </c>
      <c r="I176" s="22" t="s">
        <v>252</v>
      </c>
      <c r="J176" s="22">
        <v>0</v>
      </c>
      <c r="K176" s="22" t="s">
        <v>253</v>
      </c>
      <c r="L176" s="5">
        <f t="shared" si="4"/>
        <v>900.00000000000159</v>
      </c>
      <c r="M176" s="21">
        <f t="shared" si="5"/>
        <v>31575190.500000056</v>
      </c>
    </row>
    <row r="177" spans="1:13">
      <c r="A177" s="18" t="s">
        <v>250</v>
      </c>
      <c r="B177" s="22">
        <v>2105500</v>
      </c>
      <c r="C177" s="1">
        <v>43923</v>
      </c>
      <c r="D177" s="19">
        <v>0.5</v>
      </c>
      <c r="E177" s="22" t="s">
        <v>251</v>
      </c>
      <c r="F177" s="22">
        <v>4690</v>
      </c>
      <c r="G177" s="22" t="s">
        <v>252</v>
      </c>
      <c r="H177" s="22">
        <v>3.47</v>
      </c>
      <c r="I177" s="22" t="s">
        <v>252</v>
      </c>
      <c r="J177" s="22">
        <v>0</v>
      </c>
      <c r="K177" s="22" t="s">
        <v>253</v>
      </c>
      <c r="L177" s="5">
        <f t="shared" si="4"/>
        <v>899.99999999999682</v>
      </c>
      <c r="M177" s="21">
        <f t="shared" si="5"/>
        <v>31575190.499999888</v>
      </c>
    </row>
    <row r="178" spans="1:13">
      <c r="A178" s="18" t="s">
        <v>250</v>
      </c>
      <c r="B178" s="22">
        <v>2105500</v>
      </c>
      <c r="C178" s="1">
        <v>43923</v>
      </c>
      <c r="D178" s="19">
        <v>0.51041666666666663</v>
      </c>
      <c r="E178" s="22" t="s">
        <v>251</v>
      </c>
      <c r="F178" s="22">
        <v>4620</v>
      </c>
      <c r="G178" s="22" t="s">
        <v>252</v>
      </c>
      <c r="H178" s="22">
        <v>3.44</v>
      </c>
      <c r="I178" s="22" t="s">
        <v>252</v>
      </c>
      <c r="J178" s="22">
        <v>0</v>
      </c>
      <c r="K178" s="22" t="s">
        <v>253</v>
      </c>
      <c r="L178" s="5">
        <f t="shared" si="4"/>
        <v>900.00000000000637</v>
      </c>
      <c r="M178" s="21">
        <f t="shared" si="5"/>
        <v>31103919.00000022</v>
      </c>
    </row>
    <row r="179" spans="1:13">
      <c r="A179" s="18" t="s">
        <v>250</v>
      </c>
      <c r="B179" s="22">
        <v>2105500</v>
      </c>
      <c r="C179" s="1">
        <v>43923</v>
      </c>
      <c r="D179" s="19">
        <v>0.52083333333333337</v>
      </c>
      <c r="E179" s="22" t="s">
        <v>251</v>
      </c>
      <c r="F179" s="22">
        <v>4620</v>
      </c>
      <c r="G179" s="22" t="s">
        <v>252</v>
      </c>
      <c r="H179" s="22">
        <v>3.44</v>
      </c>
      <c r="I179" s="22" t="s">
        <v>252</v>
      </c>
      <c r="J179" s="22">
        <v>0</v>
      </c>
      <c r="K179" s="22" t="s">
        <v>253</v>
      </c>
      <c r="L179" s="5">
        <f t="shared" si="4"/>
        <v>899.99999999999682</v>
      </c>
      <c r="M179" s="21">
        <f t="shared" si="5"/>
        <v>31103918.999999888</v>
      </c>
    </row>
    <row r="180" spans="1:13">
      <c r="A180" s="18" t="s">
        <v>250</v>
      </c>
      <c r="B180" s="22">
        <v>2105500</v>
      </c>
      <c r="C180" s="1">
        <v>43923</v>
      </c>
      <c r="D180" s="19">
        <v>0.53125</v>
      </c>
      <c r="E180" s="22" t="s">
        <v>251</v>
      </c>
      <c r="F180" s="22">
        <v>4570</v>
      </c>
      <c r="G180" s="22" t="s">
        <v>252</v>
      </c>
      <c r="H180" s="22">
        <v>3.42</v>
      </c>
      <c r="I180" s="22" t="s">
        <v>252</v>
      </c>
      <c r="J180" s="22">
        <v>0</v>
      </c>
      <c r="K180" s="22" t="s">
        <v>253</v>
      </c>
      <c r="L180" s="5">
        <f t="shared" si="4"/>
        <v>899.99999999999682</v>
      </c>
      <c r="M180" s="21">
        <f t="shared" si="5"/>
        <v>30767296.499999892</v>
      </c>
    </row>
    <row r="181" spans="1:13">
      <c r="A181" s="18" t="s">
        <v>250</v>
      </c>
      <c r="B181" s="22">
        <v>2105500</v>
      </c>
      <c r="C181" s="1">
        <v>43923</v>
      </c>
      <c r="D181" s="19">
        <v>0.54166666666666663</v>
      </c>
      <c r="E181" s="22" t="s">
        <v>251</v>
      </c>
      <c r="F181" s="22">
        <v>4530</v>
      </c>
      <c r="G181" s="22" t="s">
        <v>252</v>
      </c>
      <c r="H181" s="22">
        <v>3.4</v>
      </c>
      <c r="I181" s="22" t="s">
        <v>252</v>
      </c>
      <c r="J181" s="22">
        <v>0</v>
      </c>
      <c r="K181" s="22" t="s">
        <v>253</v>
      </c>
      <c r="L181" s="5">
        <f t="shared" si="4"/>
        <v>900.00000000000637</v>
      </c>
      <c r="M181" s="21">
        <f t="shared" si="5"/>
        <v>30497998.500000216</v>
      </c>
    </row>
    <row r="182" spans="1:13">
      <c r="A182" s="18" t="s">
        <v>250</v>
      </c>
      <c r="B182" s="22">
        <v>2105500</v>
      </c>
      <c r="C182" s="1">
        <v>43923</v>
      </c>
      <c r="D182" s="19">
        <v>0.55208333333333337</v>
      </c>
      <c r="E182" s="22" t="s">
        <v>251</v>
      </c>
      <c r="F182" s="22">
        <v>4550</v>
      </c>
      <c r="G182" s="22" t="s">
        <v>252</v>
      </c>
      <c r="H182" s="22">
        <v>3.41</v>
      </c>
      <c r="I182" s="22" t="s">
        <v>252</v>
      </c>
      <c r="J182" s="22">
        <v>0</v>
      </c>
      <c r="K182" s="22" t="s">
        <v>253</v>
      </c>
      <c r="L182" s="5">
        <f t="shared" si="4"/>
        <v>899.99999999999682</v>
      </c>
      <c r="M182" s="21">
        <f t="shared" si="5"/>
        <v>30632647.499999892</v>
      </c>
    </row>
    <row r="183" spans="1:13">
      <c r="A183" s="18" t="s">
        <v>250</v>
      </c>
      <c r="B183" s="22">
        <v>2105500</v>
      </c>
      <c r="C183" s="1">
        <v>43923</v>
      </c>
      <c r="D183" s="19">
        <v>0.5625</v>
      </c>
      <c r="E183" s="22" t="s">
        <v>251</v>
      </c>
      <c r="F183" s="22">
        <v>4530</v>
      </c>
      <c r="G183" s="22" t="s">
        <v>252</v>
      </c>
      <c r="H183" s="22">
        <v>3.4</v>
      </c>
      <c r="I183" s="22" t="s">
        <v>252</v>
      </c>
      <c r="J183" s="22">
        <v>0</v>
      </c>
      <c r="K183" s="22" t="s">
        <v>253</v>
      </c>
      <c r="L183" s="5">
        <f t="shared" si="4"/>
        <v>899.99999999999682</v>
      </c>
      <c r="M183" s="21">
        <f t="shared" si="5"/>
        <v>30497998.499999892</v>
      </c>
    </row>
    <row r="184" spans="1:13">
      <c r="A184" s="18" t="s">
        <v>250</v>
      </c>
      <c r="B184" s="22">
        <v>2105500</v>
      </c>
      <c r="C184" s="1">
        <v>43923</v>
      </c>
      <c r="D184" s="19">
        <v>0.57291666666666663</v>
      </c>
      <c r="E184" s="22" t="s">
        <v>251</v>
      </c>
      <c r="F184" s="22">
        <v>4450</v>
      </c>
      <c r="G184" s="22" t="s">
        <v>252</v>
      </c>
      <c r="H184" s="22">
        <v>3.37</v>
      </c>
      <c r="I184" s="22" t="s">
        <v>252</v>
      </c>
      <c r="J184" s="22">
        <v>0</v>
      </c>
      <c r="K184" s="22" t="s">
        <v>253</v>
      </c>
      <c r="L184" s="5">
        <f t="shared" si="4"/>
        <v>900.00000000000637</v>
      </c>
      <c r="M184" s="21">
        <f t="shared" si="5"/>
        <v>29959402.500000212</v>
      </c>
    </row>
    <row r="185" spans="1:13">
      <c r="A185" s="18" t="s">
        <v>250</v>
      </c>
      <c r="B185" s="22">
        <v>2105500</v>
      </c>
      <c r="C185" s="1">
        <v>43923</v>
      </c>
      <c r="D185" s="19">
        <v>0.58333333333333337</v>
      </c>
      <c r="E185" s="22" t="s">
        <v>251</v>
      </c>
      <c r="F185" s="22">
        <v>4430</v>
      </c>
      <c r="G185" s="22" t="s">
        <v>252</v>
      </c>
      <c r="H185" s="22">
        <v>3.36</v>
      </c>
      <c r="I185" s="22" t="s">
        <v>252</v>
      </c>
      <c r="J185" s="22">
        <v>0</v>
      </c>
      <c r="K185" s="22" t="s">
        <v>253</v>
      </c>
      <c r="L185" s="5">
        <f t="shared" si="4"/>
        <v>899.99999999999682</v>
      </c>
      <c r="M185" s="21">
        <f t="shared" si="5"/>
        <v>29824753.499999896</v>
      </c>
    </row>
    <row r="186" spans="1:13">
      <c r="A186" s="18" t="s">
        <v>250</v>
      </c>
      <c r="B186" s="22">
        <v>2105500</v>
      </c>
      <c r="C186" s="1">
        <v>43923</v>
      </c>
      <c r="D186" s="19">
        <v>0.59375</v>
      </c>
      <c r="E186" s="22" t="s">
        <v>251</v>
      </c>
      <c r="F186" s="22">
        <v>4450</v>
      </c>
      <c r="G186" s="22" t="s">
        <v>252</v>
      </c>
      <c r="H186" s="22">
        <v>3.37</v>
      </c>
      <c r="I186" s="22" t="s">
        <v>252</v>
      </c>
      <c r="J186" s="22">
        <v>0</v>
      </c>
      <c r="K186" s="22" t="s">
        <v>253</v>
      </c>
      <c r="L186" s="5">
        <f t="shared" si="4"/>
        <v>899.99999999999682</v>
      </c>
      <c r="M186" s="21">
        <f t="shared" si="5"/>
        <v>29959402.499999896</v>
      </c>
    </row>
    <row r="187" spans="1:13">
      <c r="A187" s="18" t="s">
        <v>250</v>
      </c>
      <c r="B187" s="22">
        <v>2105500</v>
      </c>
      <c r="C187" s="1">
        <v>43923</v>
      </c>
      <c r="D187" s="19">
        <v>0.60416666666666663</v>
      </c>
      <c r="E187" s="22" t="s">
        <v>251</v>
      </c>
      <c r="F187" s="22">
        <v>4380</v>
      </c>
      <c r="G187" s="22" t="s">
        <v>252</v>
      </c>
      <c r="H187" s="22">
        <v>3.34</v>
      </c>
      <c r="I187" s="22" t="s">
        <v>252</v>
      </c>
      <c r="J187" s="22">
        <v>0</v>
      </c>
      <c r="K187" s="22" t="s">
        <v>253</v>
      </c>
      <c r="L187" s="5">
        <f t="shared" si="4"/>
        <v>900.00000000000637</v>
      </c>
      <c r="M187" s="21">
        <f t="shared" si="5"/>
        <v>29488131.000000209</v>
      </c>
    </row>
    <row r="188" spans="1:13">
      <c r="A188" s="18" t="s">
        <v>250</v>
      </c>
      <c r="B188" s="22">
        <v>2105500</v>
      </c>
      <c r="C188" s="1">
        <v>43923</v>
      </c>
      <c r="D188" s="19">
        <v>0.61458333333333337</v>
      </c>
      <c r="E188" s="22" t="s">
        <v>251</v>
      </c>
      <c r="F188" s="22">
        <v>4360</v>
      </c>
      <c r="G188" s="22" t="s">
        <v>252</v>
      </c>
      <c r="H188" s="22">
        <v>3.33</v>
      </c>
      <c r="I188" s="22" t="s">
        <v>252</v>
      </c>
      <c r="J188" s="22">
        <v>0</v>
      </c>
      <c r="K188" s="22" t="s">
        <v>253</v>
      </c>
      <c r="L188" s="5">
        <f t="shared" si="4"/>
        <v>899.99999999999682</v>
      </c>
      <c r="M188" s="21">
        <f t="shared" si="5"/>
        <v>29353481.999999896</v>
      </c>
    </row>
    <row r="189" spans="1:13">
      <c r="A189" s="18" t="s">
        <v>250</v>
      </c>
      <c r="B189" s="22">
        <v>2105500</v>
      </c>
      <c r="C189" s="1">
        <v>43923</v>
      </c>
      <c r="D189" s="19">
        <v>0.625</v>
      </c>
      <c r="E189" s="22" t="s">
        <v>251</v>
      </c>
      <c r="F189" s="22">
        <v>4340</v>
      </c>
      <c r="G189" s="22" t="s">
        <v>252</v>
      </c>
      <c r="H189" s="22">
        <v>3.32</v>
      </c>
      <c r="I189" s="22" t="s">
        <v>252</v>
      </c>
      <c r="J189" s="22">
        <v>0</v>
      </c>
      <c r="K189" s="22" t="s">
        <v>253</v>
      </c>
      <c r="L189" s="5">
        <f t="shared" si="4"/>
        <v>899.99999999999682</v>
      </c>
      <c r="M189" s="21">
        <f t="shared" si="5"/>
        <v>29218832.999999896</v>
      </c>
    </row>
    <row r="190" spans="1:13">
      <c r="A190" s="18" t="s">
        <v>250</v>
      </c>
      <c r="B190" s="22">
        <v>2105500</v>
      </c>
      <c r="C190" s="1">
        <v>43923</v>
      </c>
      <c r="D190" s="19">
        <v>0.63541666666666663</v>
      </c>
      <c r="E190" s="22" t="s">
        <v>251</v>
      </c>
      <c r="F190" s="22">
        <v>4310</v>
      </c>
      <c r="G190" s="22" t="s">
        <v>252</v>
      </c>
      <c r="H190" s="22">
        <v>3.31</v>
      </c>
      <c r="I190" s="22" t="s">
        <v>252</v>
      </c>
      <c r="J190" s="22">
        <v>0</v>
      </c>
      <c r="K190" s="22" t="s">
        <v>253</v>
      </c>
      <c r="L190" s="5">
        <f t="shared" si="4"/>
        <v>900.00000000000637</v>
      </c>
      <c r="M190" s="21">
        <f t="shared" si="5"/>
        <v>29016859.500000205</v>
      </c>
    </row>
    <row r="191" spans="1:13">
      <c r="A191" s="18" t="s">
        <v>250</v>
      </c>
      <c r="B191" s="22">
        <v>2105500</v>
      </c>
      <c r="C191" s="1">
        <v>43923</v>
      </c>
      <c r="D191" s="19">
        <v>0.64583333333333337</v>
      </c>
      <c r="E191" s="22" t="s">
        <v>251</v>
      </c>
      <c r="F191" s="22">
        <v>4310</v>
      </c>
      <c r="G191" s="22" t="s">
        <v>252</v>
      </c>
      <c r="H191" s="22">
        <v>3.31</v>
      </c>
      <c r="I191" s="22" t="s">
        <v>252</v>
      </c>
      <c r="J191" s="22">
        <v>0</v>
      </c>
      <c r="K191" s="22" t="s">
        <v>253</v>
      </c>
      <c r="L191" s="5">
        <f t="shared" si="4"/>
        <v>899.99999999999682</v>
      </c>
      <c r="M191" s="21">
        <f t="shared" si="5"/>
        <v>29016859.499999899</v>
      </c>
    </row>
    <row r="192" spans="1:13">
      <c r="A192" s="18" t="s">
        <v>250</v>
      </c>
      <c r="B192" s="22">
        <v>2105500</v>
      </c>
      <c r="C192" s="1">
        <v>43923</v>
      </c>
      <c r="D192" s="19">
        <v>0.65625</v>
      </c>
      <c r="E192" s="22" t="s">
        <v>251</v>
      </c>
      <c r="F192" s="22">
        <v>4270</v>
      </c>
      <c r="G192" s="22" t="s">
        <v>252</v>
      </c>
      <c r="H192" s="22">
        <v>3.29</v>
      </c>
      <c r="I192" s="22" t="s">
        <v>252</v>
      </c>
      <c r="J192" s="22">
        <v>0</v>
      </c>
      <c r="K192" s="22" t="s">
        <v>253</v>
      </c>
      <c r="L192" s="5">
        <f t="shared" si="4"/>
        <v>899.99999999999682</v>
      </c>
      <c r="M192" s="21">
        <f t="shared" si="5"/>
        <v>28747561.499999899</v>
      </c>
    </row>
    <row r="193" spans="1:13">
      <c r="A193" s="18" t="s">
        <v>250</v>
      </c>
      <c r="B193" s="22">
        <v>2105500</v>
      </c>
      <c r="C193" s="1">
        <v>43923</v>
      </c>
      <c r="D193" s="19">
        <v>0.66666666666666663</v>
      </c>
      <c r="E193" s="22" t="s">
        <v>251</v>
      </c>
      <c r="F193" s="22">
        <v>4270</v>
      </c>
      <c r="G193" s="22" t="s">
        <v>252</v>
      </c>
      <c r="H193" s="22">
        <v>3.29</v>
      </c>
      <c r="I193" s="22" t="s">
        <v>252</v>
      </c>
      <c r="J193" s="22">
        <v>0</v>
      </c>
      <c r="K193" s="22" t="s">
        <v>253</v>
      </c>
      <c r="L193" s="5">
        <f t="shared" si="4"/>
        <v>900.00000000000637</v>
      </c>
      <c r="M193" s="21">
        <f t="shared" si="5"/>
        <v>28747561.500000201</v>
      </c>
    </row>
    <row r="194" spans="1:13">
      <c r="A194" s="18" t="s">
        <v>250</v>
      </c>
      <c r="B194" s="22">
        <v>2105500</v>
      </c>
      <c r="C194" s="1">
        <v>43923</v>
      </c>
      <c r="D194" s="19">
        <v>0.67708333333333337</v>
      </c>
      <c r="E194" s="22" t="s">
        <v>251</v>
      </c>
      <c r="F194" s="22">
        <v>4220</v>
      </c>
      <c r="G194" s="22" t="s">
        <v>252</v>
      </c>
      <c r="H194" s="22">
        <v>3.27</v>
      </c>
      <c r="I194" s="22" t="s">
        <v>252</v>
      </c>
      <c r="J194" s="22">
        <v>0</v>
      </c>
      <c r="K194" s="22" t="s">
        <v>253</v>
      </c>
      <c r="L194" s="5">
        <f t="shared" si="4"/>
        <v>899.99999999999682</v>
      </c>
      <c r="M194" s="21">
        <f t="shared" si="5"/>
        <v>28410938.999999899</v>
      </c>
    </row>
    <row r="195" spans="1:13">
      <c r="A195" s="18" t="s">
        <v>250</v>
      </c>
      <c r="B195" s="22">
        <v>2105500</v>
      </c>
      <c r="C195" s="1">
        <v>43923</v>
      </c>
      <c r="D195" s="19">
        <v>0.6875</v>
      </c>
      <c r="E195" s="22" t="s">
        <v>251</v>
      </c>
      <c r="F195" s="22">
        <v>4180</v>
      </c>
      <c r="G195" s="22" t="s">
        <v>252</v>
      </c>
      <c r="H195" s="22">
        <v>3.25</v>
      </c>
      <c r="I195" s="22" t="s">
        <v>252</v>
      </c>
      <c r="J195" s="22">
        <v>0</v>
      </c>
      <c r="K195" s="22" t="s">
        <v>253</v>
      </c>
      <c r="L195" s="5">
        <f t="shared" si="4"/>
        <v>899.99999999999682</v>
      </c>
      <c r="M195" s="21">
        <f t="shared" si="5"/>
        <v>28141640.999999899</v>
      </c>
    </row>
    <row r="196" spans="1:13">
      <c r="A196" s="18" t="s">
        <v>250</v>
      </c>
      <c r="B196" s="22">
        <v>2105500</v>
      </c>
      <c r="C196" s="1">
        <v>43923</v>
      </c>
      <c r="D196" s="19">
        <v>0.69791666666666663</v>
      </c>
      <c r="E196" s="22" t="s">
        <v>251</v>
      </c>
      <c r="F196" s="22">
        <v>4150</v>
      </c>
      <c r="G196" s="22" t="s">
        <v>252</v>
      </c>
      <c r="H196" s="22">
        <v>3.24</v>
      </c>
      <c r="I196" s="22" t="s">
        <v>252</v>
      </c>
      <c r="J196" s="22">
        <v>0</v>
      </c>
      <c r="K196" s="22" t="s">
        <v>253</v>
      </c>
      <c r="L196" s="5">
        <f t="shared" si="4"/>
        <v>900.00000000000637</v>
      </c>
      <c r="M196" s="21">
        <f t="shared" si="5"/>
        <v>27939667.500000197</v>
      </c>
    </row>
    <row r="197" spans="1:13">
      <c r="A197" s="18" t="s">
        <v>250</v>
      </c>
      <c r="B197" s="22">
        <v>2105500</v>
      </c>
      <c r="C197" s="1">
        <v>43923</v>
      </c>
      <c r="D197" s="19">
        <v>0.70833333333333337</v>
      </c>
      <c r="E197" s="22" t="s">
        <v>251</v>
      </c>
      <c r="F197" s="22">
        <v>4150</v>
      </c>
      <c r="G197" s="22" t="s">
        <v>252</v>
      </c>
      <c r="H197" s="22">
        <v>3.24</v>
      </c>
      <c r="I197" s="22" t="s">
        <v>252</v>
      </c>
      <c r="J197" s="22">
        <v>0</v>
      </c>
      <c r="K197" s="22" t="s">
        <v>253</v>
      </c>
      <c r="L197" s="5">
        <f t="shared" si="4"/>
        <v>899.99999999999682</v>
      </c>
      <c r="M197" s="21">
        <f t="shared" si="5"/>
        <v>27939667.499999903</v>
      </c>
    </row>
    <row r="198" spans="1:13">
      <c r="A198" s="18" t="s">
        <v>250</v>
      </c>
      <c r="B198" s="22">
        <v>2105500</v>
      </c>
      <c r="C198" s="1">
        <v>43923</v>
      </c>
      <c r="D198" s="19">
        <v>0.71875</v>
      </c>
      <c r="E198" s="22" t="s">
        <v>251</v>
      </c>
      <c r="F198" s="22">
        <v>4110</v>
      </c>
      <c r="G198" s="22" t="s">
        <v>252</v>
      </c>
      <c r="H198" s="22">
        <v>3.22</v>
      </c>
      <c r="I198" s="22" t="s">
        <v>252</v>
      </c>
      <c r="J198" s="22">
        <v>0</v>
      </c>
      <c r="K198" s="22" t="s">
        <v>253</v>
      </c>
      <c r="L198" s="5">
        <f t="shared" si="4"/>
        <v>899.99999999999682</v>
      </c>
      <c r="M198" s="21">
        <f t="shared" si="5"/>
        <v>27670369.499999903</v>
      </c>
    </row>
    <row r="199" spans="1:13">
      <c r="A199" s="18" t="s">
        <v>250</v>
      </c>
      <c r="B199" s="22">
        <v>2105500</v>
      </c>
      <c r="C199" s="1">
        <v>43923</v>
      </c>
      <c r="D199" s="19">
        <v>0.72916666666666663</v>
      </c>
      <c r="E199" s="22" t="s">
        <v>251</v>
      </c>
      <c r="F199" s="22">
        <v>4060</v>
      </c>
      <c r="G199" s="22" t="s">
        <v>252</v>
      </c>
      <c r="H199" s="22">
        <v>3.2</v>
      </c>
      <c r="I199" s="22" t="s">
        <v>252</v>
      </c>
      <c r="J199" s="22">
        <v>0</v>
      </c>
      <c r="K199" s="22" t="s">
        <v>253</v>
      </c>
      <c r="L199" s="5">
        <f t="shared" si="4"/>
        <v>900.00000000000637</v>
      </c>
      <c r="M199" s="21">
        <f t="shared" si="5"/>
        <v>27333747.000000197</v>
      </c>
    </row>
    <row r="200" spans="1:13">
      <c r="A200" s="18" t="s">
        <v>250</v>
      </c>
      <c r="B200" s="22">
        <v>2105500</v>
      </c>
      <c r="C200" s="1">
        <v>43923</v>
      </c>
      <c r="D200" s="19">
        <v>0.73958333333333337</v>
      </c>
      <c r="E200" s="22" t="s">
        <v>251</v>
      </c>
      <c r="F200" s="22">
        <v>4060</v>
      </c>
      <c r="G200" s="22" t="s">
        <v>252</v>
      </c>
      <c r="H200" s="22">
        <v>3.2</v>
      </c>
      <c r="I200" s="22" t="s">
        <v>252</v>
      </c>
      <c r="J200" s="22">
        <v>0</v>
      </c>
      <c r="K200" s="22" t="s">
        <v>253</v>
      </c>
      <c r="L200" s="5">
        <f t="shared" si="4"/>
        <v>899.99999999999682</v>
      </c>
      <c r="M200" s="21">
        <f t="shared" si="5"/>
        <v>27333746.999999903</v>
      </c>
    </row>
    <row r="201" spans="1:13">
      <c r="A201" s="18" t="s">
        <v>250</v>
      </c>
      <c r="B201" s="22">
        <v>2105500</v>
      </c>
      <c r="C201" s="1">
        <v>43923</v>
      </c>
      <c r="D201" s="19">
        <v>0.75</v>
      </c>
      <c r="E201" s="22" t="s">
        <v>251</v>
      </c>
      <c r="F201" s="22">
        <v>4060</v>
      </c>
      <c r="G201" s="22" t="s">
        <v>252</v>
      </c>
      <c r="H201" s="22">
        <v>3.2</v>
      </c>
      <c r="I201" s="22" t="s">
        <v>252</v>
      </c>
      <c r="J201" s="22">
        <v>0</v>
      </c>
      <c r="K201" s="22" t="s">
        <v>253</v>
      </c>
      <c r="L201" s="5">
        <f t="shared" si="4"/>
        <v>899.99999999999682</v>
      </c>
      <c r="M201" s="21">
        <f t="shared" si="5"/>
        <v>27333746.999999903</v>
      </c>
    </row>
    <row r="202" spans="1:13">
      <c r="A202" s="18" t="s">
        <v>250</v>
      </c>
      <c r="B202" s="22">
        <v>2105500</v>
      </c>
      <c r="C202" s="1">
        <v>43923</v>
      </c>
      <c r="D202" s="19">
        <v>0.76041666666666663</v>
      </c>
      <c r="E202" s="22" t="s">
        <v>251</v>
      </c>
      <c r="F202" s="22">
        <v>4020</v>
      </c>
      <c r="G202" s="22" t="s">
        <v>252</v>
      </c>
      <c r="H202" s="22">
        <v>3.18</v>
      </c>
      <c r="I202" s="22" t="s">
        <v>252</v>
      </c>
      <c r="J202" s="22">
        <v>0</v>
      </c>
      <c r="K202" s="22" t="s">
        <v>253</v>
      </c>
      <c r="L202" s="5">
        <f t="shared" si="4"/>
        <v>900.00000000000637</v>
      </c>
      <c r="M202" s="21">
        <f t="shared" si="5"/>
        <v>27064449.000000194</v>
      </c>
    </row>
    <row r="203" spans="1:13">
      <c r="A203" s="18" t="s">
        <v>250</v>
      </c>
      <c r="B203" s="22">
        <v>2105500</v>
      </c>
      <c r="C203" s="1">
        <v>43923</v>
      </c>
      <c r="D203" s="19">
        <v>0.77083333333333337</v>
      </c>
      <c r="E203" s="22" t="s">
        <v>251</v>
      </c>
      <c r="F203" s="22">
        <v>4020</v>
      </c>
      <c r="G203" s="22" t="s">
        <v>252</v>
      </c>
      <c r="H203" s="22">
        <v>3.18</v>
      </c>
      <c r="I203" s="22" t="s">
        <v>252</v>
      </c>
      <c r="J203" s="22">
        <v>0</v>
      </c>
      <c r="K203" s="22" t="s">
        <v>253</v>
      </c>
      <c r="L203" s="5">
        <f t="shared" si="4"/>
        <v>899.99999999999682</v>
      </c>
      <c r="M203" s="21">
        <f t="shared" si="5"/>
        <v>27064448.999999907</v>
      </c>
    </row>
    <row r="204" spans="1:13">
      <c r="A204" s="18" t="s">
        <v>250</v>
      </c>
      <c r="B204" s="22">
        <v>2105500</v>
      </c>
      <c r="C204" s="1">
        <v>43923</v>
      </c>
      <c r="D204" s="19">
        <v>0.78125</v>
      </c>
      <c r="E204" s="22" t="s">
        <v>251</v>
      </c>
      <c r="F204" s="22">
        <v>4000</v>
      </c>
      <c r="G204" s="22" t="s">
        <v>252</v>
      </c>
      <c r="H204" s="22">
        <v>3.17</v>
      </c>
      <c r="I204" s="22" t="s">
        <v>252</v>
      </c>
      <c r="J204" s="22">
        <v>0</v>
      </c>
      <c r="K204" s="22" t="s">
        <v>253</v>
      </c>
      <c r="L204" s="5">
        <f t="shared" si="4"/>
        <v>899.99999999999682</v>
      </c>
      <c r="M204" s="21">
        <f t="shared" si="5"/>
        <v>26929799.999999907</v>
      </c>
    </row>
    <row r="205" spans="1:13">
      <c r="A205" s="18" t="s">
        <v>250</v>
      </c>
      <c r="B205" s="22">
        <v>2105500</v>
      </c>
      <c r="C205" s="1">
        <v>43923</v>
      </c>
      <c r="D205" s="19">
        <v>0.79166666666666663</v>
      </c>
      <c r="E205" s="22" t="s">
        <v>251</v>
      </c>
      <c r="F205" s="22">
        <v>3980</v>
      </c>
      <c r="G205" s="22" t="s">
        <v>252</v>
      </c>
      <c r="H205" s="22">
        <v>3.16</v>
      </c>
      <c r="I205" s="22" t="s">
        <v>252</v>
      </c>
      <c r="J205" s="22">
        <v>0</v>
      </c>
      <c r="K205" s="22" t="s">
        <v>253</v>
      </c>
      <c r="L205" s="5">
        <f t="shared" si="4"/>
        <v>900.00000000000637</v>
      </c>
      <c r="M205" s="21">
        <f t="shared" si="5"/>
        <v>26795151.00000019</v>
      </c>
    </row>
    <row r="206" spans="1:13">
      <c r="A206" s="18" t="s">
        <v>250</v>
      </c>
      <c r="B206" s="22">
        <v>2105500</v>
      </c>
      <c r="C206" s="1">
        <v>43923</v>
      </c>
      <c r="D206" s="19">
        <v>0.80208333333333337</v>
      </c>
      <c r="E206" s="22" t="s">
        <v>251</v>
      </c>
      <c r="F206" s="22">
        <v>3950</v>
      </c>
      <c r="G206" s="22" t="s">
        <v>252</v>
      </c>
      <c r="H206" s="22">
        <v>3.15</v>
      </c>
      <c r="I206" s="22" t="s">
        <v>252</v>
      </c>
      <c r="J206" s="22">
        <v>0</v>
      </c>
      <c r="K206" s="22" t="s">
        <v>253</v>
      </c>
      <c r="L206" s="5">
        <f t="shared" si="4"/>
        <v>899.99999999999682</v>
      </c>
      <c r="M206" s="21">
        <f t="shared" si="5"/>
        <v>26593177.499999907</v>
      </c>
    </row>
    <row r="207" spans="1:13">
      <c r="A207" s="18" t="s">
        <v>250</v>
      </c>
      <c r="B207" s="22">
        <v>2105500</v>
      </c>
      <c r="C207" s="1">
        <v>43923</v>
      </c>
      <c r="D207" s="19">
        <v>0.8125</v>
      </c>
      <c r="E207" s="22" t="s">
        <v>251</v>
      </c>
      <c r="F207" s="22">
        <v>3930</v>
      </c>
      <c r="G207" s="22" t="s">
        <v>252</v>
      </c>
      <c r="H207" s="22">
        <v>3.14</v>
      </c>
      <c r="I207" s="22" t="s">
        <v>252</v>
      </c>
      <c r="J207" s="22">
        <v>0</v>
      </c>
      <c r="K207" s="22" t="s">
        <v>253</v>
      </c>
      <c r="L207" s="5">
        <f t="shared" si="4"/>
        <v>899.99999999999682</v>
      </c>
      <c r="M207" s="21">
        <f t="shared" si="5"/>
        <v>26458528.499999907</v>
      </c>
    </row>
    <row r="208" spans="1:13">
      <c r="A208" s="18" t="s">
        <v>250</v>
      </c>
      <c r="B208" s="22">
        <v>2105500</v>
      </c>
      <c r="C208" s="1">
        <v>43923</v>
      </c>
      <c r="D208" s="19">
        <v>0.82291666666666663</v>
      </c>
      <c r="E208" s="22" t="s">
        <v>251</v>
      </c>
      <c r="F208" s="22">
        <v>3910</v>
      </c>
      <c r="G208" s="22" t="s">
        <v>252</v>
      </c>
      <c r="H208" s="22">
        <v>3.13</v>
      </c>
      <c r="I208" s="22" t="s">
        <v>252</v>
      </c>
      <c r="J208" s="22">
        <v>0</v>
      </c>
      <c r="K208" s="22" t="s">
        <v>253</v>
      </c>
      <c r="L208" s="5">
        <f t="shared" si="4"/>
        <v>900.00000000000637</v>
      </c>
      <c r="M208" s="21">
        <f t="shared" si="5"/>
        <v>26323879.500000186</v>
      </c>
    </row>
    <row r="209" spans="1:13">
      <c r="A209" s="18" t="s">
        <v>250</v>
      </c>
      <c r="B209" s="22">
        <v>2105500</v>
      </c>
      <c r="C209" s="1">
        <v>43923</v>
      </c>
      <c r="D209" s="19">
        <v>0.83333333333333337</v>
      </c>
      <c r="E209" s="22" t="s">
        <v>251</v>
      </c>
      <c r="F209" s="22">
        <v>3890</v>
      </c>
      <c r="G209" s="22" t="s">
        <v>252</v>
      </c>
      <c r="H209" s="22">
        <v>3.12</v>
      </c>
      <c r="I209" s="22" t="s">
        <v>252</v>
      </c>
      <c r="J209" s="22">
        <v>0</v>
      </c>
      <c r="K209" s="22" t="s">
        <v>253</v>
      </c>
      <c r="L209" s="5">
        <f t="shared" si="4"/>
        <v>899.99999999999682</v>
      </c>
      <c r="M209" s="21">
        <f t="shared" si="5"/>
        <v>26189230.499999907</v>
      </c>
    </row>
    <row r="210" spans="1:13">
      <c r="A210" s="18" t="s">
        <v>250</v>
      </c>
      <c r="B210" s="22">
        <v>2105500</v>
      </c>
      <c r="C210" s="1">
        <v>43923</v>
      </c>
      <c r="D210" s="19">
        <v>0.84375</v>
      </c>
      <c r="E210" s="22" t="s">
        <v>251</v>
      </c>
      <c r="F210" s="22">
        <v>3870</v>
      </c>
      <c r="G210" s="22" t="s">
        <v>252</v>
      </c>
      <c r="H210" s="22">
        <v>3.11</v>
      </c>
      <c r="I210" s="22" t="s">
        <v>252</v>
      </c>
      <c r="J210" s="22">
        <v>0</v>
      </c>
      <c r="K210" s="22" t="s">
        <v>253</v>
      </c>
      <c r="L210" s="5">
        <f t="shared" si="4"/>
        <v>899.99999999999682</v>
      </c>
      <c r="M210" s="21">
        <f t="shared" si="5"/>
        <v>26054581.499999911</v>
      </c>
    </row>
    <row r="211" spans="1:13">
      <c r="A211" s="18" t="s">
        <v>250</v>
      </c>
      <c r="B211" s="22">
        <v>2105500</v>
      </c>
      <c r="C211" s="1">
        <v>43923</v>
      </c>
      <c r="D211" s="19">
        <v>0.85416666666666663</v>
      </c>
      <c r="E211" s="22" t="s">
        <v>251</v>
      </c>
      <c r="F211" s="22">
        <v>3850</v>
      </c>
      <c r="G211" s="22" t="s">
        <v>252</v>
      </c>
      <c r="H211" s="22">
        <v>3.1</v>
      </c>
      <c r="I211" s="22" t="s">
        <v>252</v>
      </c>
      <c r="J211" s="22">
        <v>0</v>
      </c>
      <c r="K211" s="22" t="s">
        <v>253</v>
      </c>
      <c r="L211" s="5">
        <f t="shared" si="4"/>
        <v>900.00000000000637</v>
      </c>
      <c r="M211" s="21">
        <f t="shared" si="5"/>
        <v>25919932.500000186</v>
      </c>
    </row>
    <row r="212" spans="1:13">
      <c r="A212" s="18" t="s">
        <v>250</v>
      </c>
      <c r="B212" s="22">
        <v>2105500</v>
      </c>
      <c r="C212" s="1">
        <v>43923</v>
      </c>
      <c r="D212" s="19">
        <v>0.86458333333333337</v>
      </c>
      <c r="E212" s="22" t="s">
        <v>251</v>
      </c>
      <c r="F212" s="22">
        <v>3820</v>
      </c>
      <c r="G212" s="22" t="s">
        <v>252</v>
      </c>
      <c r="H212" s="22">
        <v>3.09</v>
      </c>
      <c r="I212" s="22" t="s">
        <v>252</v>
      </c>
      <c r="J212" s="22">
        <v>0</v>
      </c>
      <c r="K212" s="22" t="s">
        <v>253</v>
      </c>
      <c r="L212" s="5">
        <f t="shared" si="4"/>
        <v>899.99999999999682</v>
      </c>
      <c r="M212" s="21">
        <f t="shared" si="5"/>
        <v>25717958.999999911</v>
      </c>
    </row>
    <row r="213" spans="1:13">
      <c r="A213" s="18" t="s">
        <v>250</v>
      </c>
      <c r="B213" s="22">
        <v>2105500</v>
      </c>
      <c r="C213" s="1">
        <v>43923</v>
      </c>
      <c r="D213" s="19">
        <v>0.875</v>
      </c>
      <c r="E213" s="22" t="s">
        <v>251</v>
      </c>
      <c r="F213" s="22">
        <v>3820</v>
      </c>
      <c r="G213" s="22" t="s">
        <v>252</v>
      </c>
      <c r="H213" s="22">
        <v>3.09</v>
      </c>
      <c r="I213" s="22" t="s">
        <v>252</v>
      </c>
      <c r="J213" s="22">
        <v>0</v>
      </c>
      <c r="K213" s="22" t="s">
        <v>253</v>
      </c>
      <c r="L213" s="5">
        <f t="shared" si="4"/>
        <v>899.99999999999682</v>
      </c>
      <c r="M213" s="21">
        <f t="shared" si="5"/>
        <v>25717958.999999911</v>
      </c>
    </row>
    <row r="214" spans="1:13">
      <c r="A214" s="18" t="s">
        <v>250</v>
      </c>
      <c r="B214" s="22">
        <v>2105500</v>
      </c>
      <c r="C214" s="1">
        <v>43923</v>
      </c>
      <c r="D214" s="19">
        <v>0.88541666666666663</v>
      </c>
      <c r="E214" s="22" t="s">
        <v>251</v>
      </c>
      <c r="F214" s="22">
        <v>3800</v>
      </c>
      <c r="G214" s="22" t="s">
        <v>252</v>
      </c>
      <c r="H214" s="22">
        <v>3.08</v>
      </c>
      <c r="I214" s="22" t="s">
        <v>252</v>
      </c>
      <c r="J214" s="22">
        <v>0</v>
      </c>
      <c r="K214" s="22" t="s">
        <v>253</v>
      </c>
      <c r="L214" s="5">
        <f t="shared" si="4"/>
        <v>900.00000000000637</v>
      </c>
      <c r="M214" s="21">
        <f t="shared" si="5"/>
        <v>25583310.000000183</v>
      </c>
    </row>
    <row r="215" spans="1:13">
      <c r="A215" s="18" t="s">
        <v>250</v>
      </c>
      <c r="B215" s="22">
        <v>2105500</v>
      </c>
      <c r="C215" s="1">
        <v>43923</v>
      </c>
      <c r="D215" s="19">
        <v>0.89583333333333337</v>
      </c>
      <c r="E215" s="22" t="s">
        <v>251</v>
      </c>
      <c r="F215" s="22">
        <v>3780</v>
      </c>
      <c r="G215" s="22" t="s">
        <v>252</v>
      </c>
      <c r="H215" s="22">
        <v>3.07</v>
      </c>
      <c r="I215" s="22" t="s">
        <v>252</v>
      </c>
      <c r="J215" s="22">
        <v>0</v>
      </c>
      <c r="K215" s="22" t="s">
        <v>253</v>
      </c>
      <c r="L215" s="5">
        <f t="shared" si="4"/>
        <v>899.99999999999682</v>
      </c>
      <c r="M215" s="21">
        <f t="shared" si="5"/>
        <v>25448660.999999911</v>
      </c>
    </row>
    <row r="216" spans="1:13">
      <c r="A216" s="18" t="s">
        <v>250</v>
      </c>
      <c r="B216" s="22">
        <v>2105500</v>
      </c>
      <c r="C216" s="1">
        <v>43923</v>
      </c>
      <c r="D216" s="19">
        <v>0.90625</v>
      </c>
      <c r="E216" s="22" t="s">
        <v>251</v>
      </c>
      <c r="F216" s="22">
        <v>3760</v>
      </c>
      <c r="G216" s="22" t="s">
        <v>252</v>
      </c>
      <c r="H216" s="22">
        <v>3.06</v>
      </c>
      <c r="I216" s="22" t="s">
        <v>252</v>
      </c>
      <c r="J216" s="22">
        <v>0</v>
      </c>
      <c r="K216" s="22" t="s">
        <v>253</v>
      </c>
      <c r="L216" s="5">
        <f t="shared" si="4"/>
        <v>899.99999999999682</v>
      </c>
      <c r="M216" s="21">
        <f t="shared" si="5"/>
        <v>25314011.999999911</v>
      </c>
    </row>
    <row r="217" spans="1:13">
      <c r="A217" s="18" t="s">
        <v>250</v>
      </c>
      <c r="B217" s="22">
        <v>2105500</v>
      </c>
      <c r="C217" s="1">
        <v>43923</v>
      </c>
      <c r="D217" s="19">
        <v>0.91666666666666663</v>
      </c>
      <c r="E217" s="22" t="s">
        <v>251</v>
      </c>
      <c r="F217" s="22">
        <v>3760</v>
      </c>
      <c r="G217" s="22" t="s">
        <v>252</v>
      </c>
      <c r="H217" s="22">
        <v>3.06</v>
      </c>
      <c r="I217" s="22" t="s">
        <v>252</v>
      </c>
      <c r="J217" s="22">
        <v>0</v>
      </c>
      <c r="K217" s="22" t="s">
        <v>253</v>
      </c>
      <c r="L217" s="5">
        <f t="shared" si="4"/>
        <v>900.00000000000637</v>
      </c>
      <c r="M217" s="21">
        <f t="shared" si="5"/>
        <v>25314012.000000179</v>
      </c>
    </row>
    <row r="218" spans="1:13">
      <c r="A218" s="18" t="s">
        <v>250</v>
      </c>
      <c r="B218" s="22">
        <v>2105500</v>
      </c>
      <c r="C218" s="1">
        <v>43923</v>
      </c>
      <c r="D218" s="19">
        <v>0.92708333333333337</v>
      </c>
      <c r="E218" s="22" t="s">
        <v>251</v>
      </c>
      <c r="F218" s="22">
        <v>3740</v>
      </c>
      <c r="G218" s="22" t="s">
        <v>252</v>
      </c>
      <c r="H218" s="22">
        <v>3.05</v>
      </c>
      <c r="I218" s="22" t="s">
        <v>252</v>
      </c>
      <c r="J218" s="22">
        <v>0</v>
      </c>
      <c r="K218" s="22" t="s">
        <v>253</v>
      </c>
      <c r="L218" s="5">
        <f t="shared" si="4"/>
        <v>899.99999999999682</v>
      </c>
      <c r="M218" s="21">
        <f t="shared" si="5"/>
        <v>25179362.999999911</v>
      </c>
    </row>
    <row r="219" spans="1:13">
      <c r="A219" s="18" t="s">
        <v>250</v>
      </c>
      <c r="B219" s="22">
        <v>2105500</v>
      </c>
      <c r="C219" s="1">
        <v>43923</v>
      </c>
      <c r="D219" s="19">
        <v>0.9375</v>
      </c>
      <c r="E219" s="22" t="s">
        <v>251</v>
      </c>
      <c r="F219" s="22">
        <v>3720</v>
      </c>
      <c r="G219" s="22" t="s">
        <v>252</v>
      </c>
      <c r="H219" s="22">
        <v>3.04</v>
      </c>
      <c r="I219" s="22" t="s">
        <v>252</v>
      </c>
      <c r="J219" s="22">
        <v>0</v>
      </c>
      <c r="K219" s="22" t="s">
        <v>253</v>
      </c>
      <c r="L219" s="5">
        <f t="shared" si="4"/>
        <v>899.99999999999682</v>
      </c>
      <c r="M219" s="21">
        <f t="shared" si="5"/>
        <v>25044713.999999914</v>
      </c>
    </row>
    <row r="220" spans="1:13">
      <c r="A220" s="18" t="s">
        <v>250</v>
      </c>
      <c r="B220" s="22">
        <v>2105500</v>
      </c>
      <c r="C220" s="1">
        <v>43923</v>
      </c>
      <c r="D220" s="19">
        <v>0.94791666666666663</v>
      </c>
      <c r="E220" s="22" t="s">
        <v>251</v>
      </c>
      <c r="F220" s="22">
        <v>3720</v>
      </c>
      <c r="G220" s="22" t="s">
        <v>252</v>
      </c>
      <c r="H220" s="22">
        <v>3.04</v>
      </c>
      <c r="I220" s="22" t="s">
        <v>252</v>
      </c>
      <c r="J220" s="22">
        <v>0</v>
      </c>
      <c r="K220" s="22" t="s">
        <v>253</v>
      </c>
      <c r="L220" s="5">
        <f t="shared" si="4"/>
        <v>900.00000000000637</v>
      </c>
      <c r="M220" s="21">
        <f t="shared" si="5"/>
        <v>25044714.000000179</v>
      </c>
    </row>
    <row r="221" spans="1:13">
      <c r="A221" s="18" t="s">
        <v>250</v>
      </c>
      <c r="B221" s="22">
        <v>2105500</v>
      </c>
      <c r="C221" s="1">
        <v>43923</v>
      </c>
      <c r="D221" s="19">
        <v>0.95833333333333337</v>
      </c>
      <c r="E221" s="22" t="s">
        <v>251</v>
      </c>
      <c r="F221" s="22">
        <v>3700</v>
      </c>
      <c r="G221" s="22" t="s">
        <v>252</v>
      </c>
      <c r="H221" s="22">
        <v>3.03</v>
      </c>
      <c r="I221" s="22" t="s">
        <v>252</v>
      </c>
      <c r="J221" s="22">
        <v>0</v>
      </c>
      <c r="K221" s="22" t="s">
        <v>253</v>
      </c>
      <c r="L221" s="5">
        <f t="shared" si="4"/>
        <v>899.99999999999682</v>
      </c>
      <c r="M221" s="21">
        <f t="shared" si="5"/>
        <v>24910064.999999914</v>
      </c>
    </row>
    <row r="222" spans="1:13">
      <c r="A222" s="18" t="s">
        <v>250</v>
      </c>
      <c r="B222" s="22">
        <v>2105500</v>
      </c>
      <c r="C222" s="1">
        <v>43923</v>
      </c>
      <c r="D222" s="19">
        <v>0.96875</v>
      </c>
      <c r="E222" s="22" t="s">
        <v>251</v>
      </c>
      <c r="F222" s="22">
        <v>3670</v>
      </c>
      <c r="G222" s="22" t="s">
        <v>252</v>
      </c>
      <c r="H222" s="22">
        <v>3.02</v>
      </c>
      <c r="I222" s="22" t="s">
        <v>252</v>
      </c>
      <c r="J222" s="22">
        <v>0</v>
      </c>
      <c r="K222" s="22" t="s">
        <v>253</v>
      </c>
      <c r="L222" s="5">
        <f t="shared" si="4"/>
        <v>899.99999999999682</v>
      </c>
      <c r="M222" s="21">
        <f t="shared" si="5"/>
        <v>24708091.499999914</v>
      </c>
    </row>
    <row r="223" spans="1:13">
      <c r="A223" s="18" t="s">
        <v>250</v>
      </c>
      <c r="B223" s="22">
        <v>2105500</v>
      </c>
      <c r="C223" s="1">
        <v>43923</v>
      </c>
      <c r="D223" s="19">
        <v>0.97916666666666663</v>
      </c>
      <c r="E223" s="22" t="s">
        <v>251</v>
      </c>
      <c r="F223" s="22">
        <v>3670</v>
      </c>
      <c r="G223" s="22" t="s">
        <v>252</v>
      </c>
      <c r="H223" s="22">
        <v>3.02</v>
      </c>
      <c r="I223" s="22" t="s">
        <v>252</v>
      </c>
      <c r="J223" s="22">
        <v>0</v>
      </c>
      <c r="K223" s="22" t="s">
        <v>253</v>
      </c>
      <c r="L223" s="5">
        <f t="shared" si="4"/>
        <v>900.00000000000637</v>
      </c>
      <c r="M223" s="21">
        <f t="shared" si="5"/>
        <v>24708091.500000175</v>
      </c>
    </row>
    <row r="224" spans="1:13">
      <c r="A224" s="18" t="s">
        <v>250</v>
      </c>
      <c r="B224" s="22">
        <v>2105500</v>
      </c>
      <c r="C224" s="1">
        <v>43923</v>
      </c>
      <c r="D224" s="19">
        <v>0.98958333333333337</v>
      </c>
      <c r="E224" s="22" t="s">
        <v>251</v>
      </c>
      <c r="F224" s="22">
        <v>3650</v>
      </c>
      <c r="G224" s="22" t="s">
        <v>252</v>
      </c>
      <c r="H224" s="22">
        <v>3.01</v>
      </c>
      <c r="I224" s="22" t="s">
        <v>252</v>
      </c>
      <c r="J224" s="22">
        <v>0</v>
      </c>
      <c r="K224" s="22" t="s">
        <v>253</v>
      </c>
      <c r="L224" s="5">
        <v>900</v>
      </c>
      <c r="M224" s="21">
        <f t="shared" si="5"/>
        <v>24573442.5</v>
      </c>
    </row>
    <row r="225" spans="1:13">
      <c r="A225" s="18" t="s">
        <v>250</v>
      </c>
      <c r="B225" s="22">
        <v>2105500</v>
      </c>
      <c r="C225" s="1">
        <v>43924</v>
      </c>
      <c r="D225" s="19">
        <v>0</v>
      </c>
      <c r="E225" s="22" t="s">
        <v>251</v>
      </c>
      <c r="F225" s="22">
        <v>3650</v>
      </c>
      <c r="G225" s="22" t="s">
        <v>252</v>
      </c>
      <c r="H225" s="22">
        <v>3.01</v>
      </c>
      <c r="I225" s="22" t="s">
        <v>252</v>
      </c>
      <c r="J225" s="22">
        <v>0</v>
      </c>
      <c r="K225" s="22" t="s">
        <v>253</v>
      </c>
      <c r="L225" s="5">
        <f t="shared" si="4"/>
        <v>900</v>
      </c>
      <c r="M225" s="21">
        <f t="shared" si="5"/>
        <v>24573442.5</v>
      </c>
    </row>
    <row r="226" spans="1:13">
      <c r="A226" s="18" t="s">
        <v>250</v>
      </c>
      <c r="B226" s="22">
        <v>2105500</v>
      </c>
      <c r="C226" s="1">
        <v>43924</v>
      </c>
      <c r="D226" s="19">
        <v>1.0416666666666666E-2</v>
      </c>
      <c r="E226" s="22" t="s">
        <v>251</v>
      </c>
      <c r="F226" s="22">
        <v>3630</v>
      </c>
      <c r="G226" s="22" t="s">
        <v>252</v>
      </c>
      <c r="H226" s="22">
        <v>3</v>
      </c>
      <c r="I226" s="22" t="s">
        <v>252</v>
      </c>
      <c r="J226" s="22">
        <v>0</v>
      </c>
      <c r="K226" s="22" t="s">
        <v>253</v>
      </c>
      <c r="L226" s="5">
        <f t="shared" ref="L226:L289" si="6">CONVERT((D227-D226),"day","sec")</f>
        <v>900</v>
      </c>
      <c r="M226" s="21">
        <f t="shared" ref="M226:M289" si="7">F226*L226*7.4805</f>
        <v>24438793.5</v>
      </c>
    </row>
    <row r="227" spans="1:13">
      <c r="A227" s="18" t="s">
        <v>250</v>
      </c>
      <c r="B227" s="22">
        <v>2105500</v>
      </c>
      <c r="C227" s="1">
        <v>43924</v>
      </c>
      <c r="D227" s="19">
        <v>2.0833333333333332E-2</v>
      </c>
      <c r="E227" s="22" t="s">
        <v>251</v>
      </c>
      <c r="F227" s="22">
        <v>3610</v>
      </c>
      <c r="G227" s="22" t="s">
        <v>252</v>
      </c>
      <c r="H227" s="22">
        <v>2.99</v>
      </c>
      <c r="I227" s="22" t="s">
        <v>252</v>
      </c>
      <c r="J227" s="22">
        <v>0</v>
      </c>
      <c r="K227" s="22" t="s">
        <v>253</v>
      </c>
      <c r="L227" s="5">
        <f t="shared" si="6"/>
        <v>900.00000000000011</v>
      </c>
      <c r="M227" s="21">
        <f t="shared" si="7"/>
        <v>24304144.500000004</v>
      </c>
    </row>
    <row r="228" spans="1:13">
      <c r="A228" s="18" t="s">
        <v>250</v>
      </c>
      <c r="B228" s="22">
        <v>2105500</v>
      </c>
      <c r="C228" s="1">
        <v>43924</v>
      </c>
      <c r="D228" s="19">
        <v>3.125E-2</v>
      </c>
      <c r="E228" s="22" t="s">
        <v>251</v>
      </c>
      <c r="F228" s="22">
        <v>3610</v>
      </c>
      <c r="G228" s="22" t="s">
        <v>252</v>
      </c>
      <c r="H228" s="22">
        <v>2.99</v>
      </c>
      <c r="I228" s="22" t="s">
        <v>252</v>
      </c>
      <c r="J228" s="22">
        <v>0</v>
      </c>
      <c r="K228" s="22" t="s">
        <v>253</v>
      </c>
      <c r="L228" s="5">
        <f t="shared" si="6"/>
        <v>899.99999999999977</v>
      </c>
      <c r="M228" s="21">
        <f t="shared" si="7"/>
        <v>24304144.499999993</v>
      </c>
    </row>
    <row r="229" spans="1:13">
      <c r="A229" s="18" t="s">
        <v>250</v>
      </c>
      <c r="B229" s="22">
        <v>2105500</v>
      </c>
      <c r="C229" s="1">
        <v>43924</v>
      </c>
      <c r="D229" s="19">
        <v>4.1666666666666664E-2</v>
      </c>
      <c r="E229" s="22" t="s">
        <v>251</v>
      </c>
      <c r="F229" s="22">
        <v>3590</v>
      </c>
      <c r="G229" s="22" t="s">
        <v>252</v>
      </c>
      <c r="H229" s="22">
        <v>2.98</v>
      </c>
      <c r="I229" s="22" t="s">
        <v>252</v>
      </c>
      <c r="J229" s="22">
        <v>0</v>
      </c>
      <c r="K229" s="22" t="s">
        <v>253</v>
      </c>
      <c r="L229" s="5">
        <f t="shared" si="6"/>
        <v>900.00000000000045</v>
      </c>
      <c r="M229" s="21">
        <f t="shared" si="7"/>
        <v>24169495.500000015</v>
      </c>
    </row>
    <row r="230" spans="1:13">
      <c r="A230" s="18" t="s">
        <v>250</v>
      </c>
      <c r="B230" s="22">
        <v>2105500</v>
      </c>
      <c r="C230" s="1">
        <v>43924</v>
      </c>
      <c r="D230" s="19">
        <v>5.2083333333333336E-2</v>
      </c>
      <c r="E230" s="22" t="s">
        <v>251</v>
      </c>
      <c r="F230" s="22">
        <v>3590</v>
      </c>
      <c r="G230" s="22" t="s">
        <v>252</v>
      </c>
      <c r="H230" s="22">
        <v>2.98</v>
      </c>
      <c r="I230" s="22" t="s">
        <v>252</v>
      </c>
      <c r="J230" s="22">
        <v>0</v>
      </c>
      <c r="K230" s="22" t="s">
        <v>253</v>
      </c>
      <c r="L230" s="5">
        <f t="shared" si="6"/>
        <v>899.99999999999977</v>
      </c>
      <c r="M230" s="21">
        <f t="shared" si="7"/>
        <v>24169495.499999993</v>
      </c>
    </row>
    <row r="231" spans="1:13">
      <c r="A231" s="18" t="s">
        <v>250</v>
      </c>
      <c r="B231" s="22">
        <v>2105500</v>
      </c>
      <c r="C231" s="1">
        <v>43924</v>
      </c>
      <c r="D231" s="19">
        <v>6.25E-2</v>
      </c>
      <c r="E231" s="22" t="s">
        <v>251</v>
      </c>
      <c r="F231" s="22">
        <v>3590</v>
      </c>
      <c r="G231" s="22" t="s">
        <v>252</v>
      </c>
      <c r="H231" s="22">
        <v>2.98</v>
      </c>
      <c r="I231" s="22" t="s">
        <v>252</v>
      </c>
      <c r="J231" s="22">
        <v>0</v>
      </c>
      <c r="K231" s="22" t="s">
        <v>253</v>
      </c>
      <c r="L231" s="5">
        <f t="shared" si="6"/>
        <v>900.00000000000045</v>
      </c>
      <c r="M231" s="21">
        <f t="shared" si="7"/>
        <v>24169495.500000015</v>
      </c>
    </row>
    <row r="232" spans="1:13">
      <c r="A232" s="18" t="s">
        <v>250</v>
      </c>
      <c r="B232" s="22">
        <v>2105500</v>
      </c>
      <c r="C232" s="1">
        <v>43924</v>
      </c>
      <c r="D232" s="19">
        <v>7.2916666666666671E-2</v>
      </c>
      <c r="E232" s="22" t="s">
        <v>251</v>
      </c>
      <c r="F232" s="22">
        <v>3550</v>
      </c>
      <c r="G232" s="22" t="s">
        <v>252</v>
      </c>
      <c r="H232" s="22">
        <v>2.96</v>
      </c>
      <c r="I232" s="22" t="s">
        <v>252</v>
      </c>
      <c r="J232" s="22">
        <v>0</v>
      </c>
      <c r="K232" s="22" t="s">
        <v>253</v>
      </c>
      <c r="L232" s="5">
        <f t="shared" si="6"/>
        <v>899.9999999999992</v>
      </c>
      <c r="M232" s="21">
        <f t="shared" si="7"/>
        <v>23900197.499999981</v>
      </c>
    </row>
    <row r="233" spans="1:13">
      <c r="A233" s="18" t="s">
        <v>250</v>
      </c>
      <c r="B233" s="22">
        <v>2105500</v>
      </c>
      <c r="C233" s="1">
        <v>43924</v>
      </c>
      <c r="D233" s="19">
        <v>8.3333333333333329E-2</v>
      </c>
      <c r="E233" s="22" t="s">
        <v>251</v>
      </c>
      <c r="F233" s="22">
        <v>3570</v>
      </c>
      <c r="G233" s="22" t="s">
        <v>252</v>
      </c>
      <c r="H233" s="22">
        <v>2.97</v>
      </c>
      <c r="I233" s="22" t="s">
        <v>252</v>
      </c>
      <c r="J233" s="22">
        <v>0</v>
      </c>
      <c r="K233" s="22" t="s">
        <v>253</v>
      </c>
      <c r="L233" s="5">
        <f t="shared" si="6"/>
        <v>900.00000000000045</v>
      </c>
      <c r="M233" s="21">
        <f t="shared" si="7"/>
        <v>24034846.500000011</v>
      </c>
    </row>
    <row r="234" spans="1:13">
      <c r="A234" s="18" t="s">
        <v>250</v>
      </c>
      <c r="B234" s="22">
        <v>2105500</v>
      </c>
      <c r="C234" s="1">
        <v>43924</v>
      </c>
      <c r="D234" s="19">
        <v>9.375E-2</v>
      </c>
      <c r="E234" s="22" t="s">
        <v>251</v>
      </c>
      <c r="F234" s="22">
        <v>3550</v>
      </c>
      <c r="G234" s="22" t="s">
        <v>252</v>
      </c>
      <c r="H234" s="22">
        <v>2.96</v>
      </c>
      <c r="I234" s="22" t="s">
        <v>252</v>
      </c>
      <c r="J234" s="22">
        <v>0</v>
      </c>
      <c r="K234" s="22" t="s">
        <v>253</v>
      </c>
      <c r="L234" s="5">
        <f t="shared" si="6"/>
        <v>900.00000000000045</v>
      </c>
      <c r="M234" s="21">
        <f t="shared" si="7"/>
        <v>23900197.500000011</v>
      </c>
    </row>
    <row r="235" spans="1:13">
      <c r="A235" s="18" t="s">
        <v>250</v>
      </c>
      <c r="B235" s="22">
        <v>2105500</v>
      </c>
      <c r="C235" s="1">
        <v>43924</v>
      </c>
      <c r="D235" s="19">
        <v>0.10416666666666667</v>
      </c>
      <c r="E235" s="22" t="s">
        <v>251</v>
      </c>
      <c r="F235" s="22">
        <v>3550</v>
      </c>
      <c r="G235" s="22" t="s">
        <v>252</v>
      </c>
      <c r="H235" s="22">
        <v>2.96</v>
      </c>
      <c r="I235" s="22" t="s">
        <v>252</v>
      </c>
      <c r="J235" s="22">
        <v>0</v>
      </c>
      <c r="K235" s="22" t="s">
        <v>253</v>
      </c>
      <c r="L235" s="5">
        <f t="shared" si="6"/>
        <v>899.9999999999992</v>
      </c>
      <c r="M235" s="21">
        <f t="shared" si="7"/>
        <v>23900197.499999981</v>
      </c>
    </row>
    <row r="236" spans="1:13">
      <c r="A236" s="18" t="s">
        <v>250</v>
      </c>
      <c r="B236" s="22">
        <v>2105500</v>
      </c>
      <c r="C236" s="1">
        <v>43924</v>
      </c>
      <c r="D236" s="19">
        <v>0.11458333333333333</v>
      </c>
      <c r="E236" s="22" t="s">
        <v>251</v>
      </c>
      <c r="F236" s="22">
        <v>3530</v>
      </c>
      <c r="G236" s="22" t="s">
        <v>252</v>
      </c>
      <c r="H236" s="22">
        <v>2.95</v>
      </c>
      <c r="I236" s="22" t="s">
        <v>252</v>
      </c>
      <c r="J236" s="22">
        <v>0</v>
      </c>
      <c r="K236" s="22" t="s">
        <v>253</v>
      </c>
      <c r="L236" s="5">
        <f t="shared" si="6"/>
        <v>900.00000000000045</v>
      </c>
      <c r="M236" s="21">
        <f t="shared" si="7"/>
        <v>23765548.500000011</v>
      </c>
    </row>
    <row r="237" spans="1:13">
      <c r="A237" s="18" t="s">
        <v>250</v>
      </c>
      <c r="B237" s="22">
        <v>2105500</v>
      </c>
      <c r="C237" s="1">
        <v>43924</v>
      </c>
      <c r="D237" s="19">
        <v>0.125</v>
      </c>
      <c r="E237" s="22" t="s">
        <v>251</v>
      </c>
      <c r="F237" s="22">
        <v>3510</v>
      </c>
      <c r="G237" s="22" t="s">
        <v>252</v>
      </c>
      <c r="H237" s="22">
        <v>2.94</v>
      </c>
      <c r="I237" s="22" t="s">
        <v>252</v>
      </c>
      <c r="J237" s="22">
        <v>0</v>
      </c>
      <c r="K237" s="22" t="s">
        <v>253</v>
      </c>
      <c r="L237" s="5">
        <f t="shared" si="6"/>
        <v>899.9999999999992</v>
      </c>
      <c r="M237" s="21">
        <f t="shared" si="7"/>
        <v>23630899.499999981</v>
      </c>
    </row>
    <row r="238" spans="1:13">
      <c r="A238" s="18" t="s">
        <v>250</v>
      </c>
      <c r="B238" s="22">
        <v>2105500</v>
      </c>
      <c r="C238" s="1">
        <v>43924</v>
      </c>
      <c r="D238" s="19">
        <v>0.13541666666666666</v>
      </c>
      <c r="E238" s="22" t="s">
        <v>251</v>
      </c>
      <c r="F238" s="22">
        <v>3510</v>
      </c>
      <c r="G238" s="22" t="s">
        <v>252</v>
      </c>
      <c r="H238" s="22">
        <v>2.94</v>
      </c>
      <c r="I238" s="22" t="s">
        <v>252</v>
      </c>
      <c r="J238" s="22">
        <v>0</v>
      </c>
      <c r="K238" s="22" t="s">
        <v>253</v>
      </c>
      <c r="L238" s="5">
        <f t="shared" si="6"/>
        <v>900.00000000000159</v>
      </c>
      <c r="M238" s="21">
        <f t="shared" si="7"/>
        <v>23630899.500000041</v>
      </c>
    </row>
    <row r="239" spans="1:13">
      <c r="A239" s="18" t="s">
        <v>250</v>
      </c>
      <c r="B239" s="22">
        <v>2105500</v>
      </c>
      <c r="C239" s="1">
        <v>43924</v>
      </c>
      <c r="D239" s="19">
        <v>0.14583333333333334</v>
      </c>
      <c r="E239" s="22" t="s">
        <v>251</v>
      </c>
      <c r="F239" s="22">
        <v>3510</v>
      </c>
      <c r="G239" s="22" t="s">
        <v>252</v>
      </c>
      <c r="H239" s="22">
        <v>2.94</v>
      </c>
      <c r="I239" s="22" t="s">
        <v>252</v>
      </c>
      <c r="J239" s="22">
        <v>0</v>
      </c>
      <c r="K239" s="22" t="s">
        <v>253</v>
      </c>
      <c r="L239" s="5">
        <f t="shared" si="6"/>
        <v>899.9999999999992</v>
      </c>
      <c r="M239" s="21">
        <f t="shared" si="7"/>
        <v>23630899.499999981</v>
      </c>
    </row>
    <row r="240" spans="1:13">
      <c r="A240" s="18" t="s">
        <v>250</v>
      </c>
      <c r="B240" s="22">
        <v>2105500</v>
      </c>
      <c r="C240" s="1">
        <v>43924</v>
      </c>
      <c r="D240" s="19">
        <v>0.15625</v>
      </c>
      <c r="E240" s="22" t="s">
        <v>251</v>
      </c>
      <c r="F240" s="22">
        <v>3510</v>
      </c>
      <c r="G240" s="22" t="s">
        <v>252</v>
      </c>
      <c r="H240" s="22">
        <v>2.94</v>
      </c>
      <c r="I240" s="22" t="s">
        <v>252</v>
      </c>
      <c r="J240" s="22">
        <v>0</v>
      </c>
      <c r="K240" s="22" t="s">
        <v>253</v>
      </c>
      <c r="L240" s="5">
        <f t="shared" si="6"/>
        <v>899.9999999999992</v>
      </c>
      <c r="M240" s="21">
        <f t="shared" si="7"/>
        <v>23630899.499999981</v>
      </c>
    </row>
    <row r="241" spans="1:13">
      <c r="A241" s="18" t="s">
        <v>250</v>
      </c>
      <c r="B241" s="22">
        <v>2105500</v>
      </c>
      <c r="C241" s="1">
        <v>43924</v>
      </c>
      <c r="D241" s="19">
        <v>0.16666666666666666</v>
      </c>
      <c r="E241" s="22" t="s">
        <v>251</v>
      </c>
      <c r="F241" s="22">
        <v>3490</v>
      </c>
      <c r="G241" s="22" t="s">
        <v>252</v>
      </c>
      <c r="H241" s="22">
        <v>2.93</v>
      </c>
      <c r="I241" s="22" t="s">
        <v>252</v>
      </c>
      <c r="J241" s="22">
        <v>0</v>
      </c>
      <c r="K241" s="22" t="s">
        <v>253</v>
      </c>
      <c r="L241" s="5">
        <f t="shared" si="6"/>
        <v>900.00000000000159</v>
      </c>
      <c r="M241" s="21">
        <f t="shared" si="7"/>
        <v>23496250.500000041</v>
      </c>
    </row>
    <row r="242" spans="1:13">
      <c r="A242" s="18" t="s">
        <v>250</v>
      </c>
      <c r="B242" s="22">
        <v>2105500</v>
      </c>
      <c r="C242" s="1">
        <v>43924</v>
      </c>
      <c r="D242" s="19">
        <v>0.17708333333333334</v>
      </c>
      <c r="E242" s="22" t="s">
        <v>251</v>
      </c>
      <c r="F242" s="22">
        <v>3490</v>
      </c>
      <c r="G242" s="22" t="s">
        <v>252</v>
      </c>
      <c r="H242" s="22">
        <v>2.93</v>
      </c>
      <c r="I242" s="22" t="s">
        <v>252</v>
      </c>
      <c r="J242" s="22">
        <v>0</v>
      </c>
      <c r="K242" s="22" t="s">
        <v>253</v>
      </c>
      <c r="L242" s="5">
        <f t="shared" si="6"/>
        <v>899.9999999999992</v>
      </c>
      <c r="M242" s="21">
        <f t="shared" si="7"/>
        <v>23496250.499999981</v>
      </c>
    </row>
    <row r="243" spans="1:13">
      <c r="A243" s="18" t="s">
        <v>250</v>
      </c>
      <c r="B243" s="22">
        <v>2105500</v>
      </c>
      <c r="C243" s="1">
        <v>43924</v>
      </c>
      <c r="D243" s="19">
        <v>0.1875</v>
      </c>
      <c r="E243" s="22" t="s">
        <v>251</v>
      </c>
      <c r="F243" s="22">
        <v>3490</v>
      </c>
      <c r="G243" s="22" t="s">
        <v>252</v>
      </c>
      <c r="H243" s="22">
        <v>2.93</v>
      </c>
      <c r="I243" s="22" t="s">
        <v>252</v>
      </c>
      <c r="J243" s="22">
        <v>0</v>
      </c>
      <c r="K243" s="22" t="s">
        <v>253</v>
      </c>
      <c r="L243" s="5">
        <f t="shared" si="6"/>
        <v>899.9999999999992</v>
      </c>
      <c r="M243" s="21">
        <f t="shared" si="7"/>
        <v>23496250.499999981</v>
      </c>
    </row>
    <row r="244" spans="1:13">
      <c r="A244" s="18" t="s">
        <v>250</v>
      </c>
      <c r="B244" s="22">
        <v>2105500</v>
      </c>
      <c r="C244" s="1">
        <v>43924</v>
      </c>
      <c r="D244" s="19">
        <v>0.19791666666666666</v>
      </c>
      <c r="E244" s="22" t="s">
        <v>251</v>
      </c>
      <c r="F244" s="22">
        <v>3470</v>
      </c>
      <c r="G244" s="22" t="s">
        <v>252</v>
      </c>
      <c r="H244" s="22">
        <v>2.92</v>
      </c>
      <c r="I244" s="22" t="s">
        <v>252</v>
      </c>
      <c r="J244" s="22">
        <v>0</v>
      </c>
      <c r="K244" s="22" t="s">
        <v>253</v>
      </c>
      <c r="L244" s="5">
        <f t="shared" si="6"/>
        <v>900.00000000000159</v>
      </c>
      <c r="M244" s="21">
        <f t="shared" si="7"/>
        <v>23361601.500000041</v>
      </c>
    </row>
    <row r="245" spans="1:13">
      <c r="A245" s="18" t="s">
        <v>250</v>
      </c>
      <c r="B245" s="22">
        <v>2105500</v>
      </c>
      <c r="C245" s="1">
        <v>43924</v>
      </c>
      <c r="D245" s="19">
        <v>0.20833333333333334</v>
      </c>
      <c r="E245" s="22" t="s">
        <v>251</v>
      </c>
      <c r="F245" s="22">
        <v>3470</v>
      </c>
      <c r="G245" s="22" t="s">
        <v>252</v>
      </c>
      <c r="H245" s="22">
        <v>2.92</v>
      </c>
      <c r="I245" s="22" t="s">
        <v>252</v>
      </c>
      <c r="J245" s="22">
        <v>0</v>
      </c>
      <c r="K245" s="22" t="s">
        <v>253</v>
      </c>
      <c r="L245" s="5">
        <f t="shared" si="6"/>
        <v>899.9999999999992</v>
      </c>
      <c r="M245" s="21">
        <f t="shared" si="7"/>
        <v>23361601.499999981</v>
      </c>
    </row>
    <row r="246" spans="1:13">
      <c r="A246" s="18" t="s">
        <v>250</v>
      </c>
      <c r="B246" s="22">
        <v>2105500</v>
      </c>
      <c r="C246" s="1">
        <v>43924</v>
      </c>
      <c r="D246" s="19">
        <v>0.21875</v>
      </c>
      <c r="E246" s="22" t="s">
        <v>251</v>
      </c>
      <c r="F246" s="22">
        <v>3450</v>
      </c>
      <c r="G246" s="22" t="s">
        <v>252</v>
      </c>
      <c r="H246" s="22">
        <v>2.91</v>
      </c>
      <c r="I246" s="22" t="s">
        <v>252</v>
      </c>
      <c r="J246" s="22">
        <v>0</v>
      </c>
      <c r="K246" s="22" t="s">
        <v>253</v>
      </c>
      <c r="L246" s="5">
        <f t="shared" si="6"/>
        <v>899.9999999999992</v>
      </c>
      <c r="M246" s="21">
        <f t="shared" si="7"/>
        <v>23226952.499999981</v>
      </c>
    </row>
    <row r="247" spans="1:13">
      <c r="A247" s="18" t="s">
        <v>250</v>
      </c>
      <c r="B247" s="22">
        <v>2105500</v>
      </c>
      <c r="C247" s="1">
        <v>43924</v>
      </c>
      <c r="D247" s="19">
        <v>0.22916666666666666</v>
      </c>
      <c r="E247" s="22" t="s">
        <v>251</v>
      </c>
      <c r="F247" s="22">
        <v>3450</v>
      </c>
      <c r="G247" s="22" t="s">
        <v>252</v>
      </c>
      <c r="H247" s="22">
        <v>2.91</v>
      </c>
      <c r="I247" s="22" t="s">
        <v>252</v>
      </c>
      <c r="J247" s="22">
        <v>0</v>
      </c>
      <c r="K247" s="22" t="s">
        <v>253</v>
      </c>
      <c r="L247" s="5">
        <f t="shared" si="6"/>
        <v>900.00000000000159</v>
      </c>
      <c r="M247" s="21">
        <f t="shared" si="7"/>
        <v>23226952.500000041</v>
      </c>
    </row>
    <row r="248" spans="1:13">
      <c r="A248" s="18" t="s">
        <v>250</v>
      </c>
      <c r="B248" s="22">
        <v>2105500</v>
      </c>
      <c r="C248" s="1">
        <v>43924</v>
      </c>
      <c r="D248" s="19">
        <v>0.23958333333333334</v>
      </c>
      <c r="E248" s="22" t="s">
        <v>251</v>
      </c>
      <c r="F248" s="22">
        <v>3430</v>
      </c>
      <c r="G248" s="22" t="s">
        <v>252</v>
      </c>
      <c r="H248" s="22">
        <v>2.9</v>
      </c>
      <c r="I248" s="22" t="s">
        <v>252</v>
      </c>
      <c r="J248" s="22">
        <v>0</v>
      </c>
      <c r="K248" s="22" t="s">
        <v>253</v>
      </c>
      <c r="L248" s="5">
        <f t="shared" si="6"/>
        <v>899.9999999999992</v>
      </c>
      <c r="M248" s="21">
        <f t="shared" si="7"/>
        <v>23092303.499999981</v>
      </c>
    </row>
    <row r="249" spans="1:13">
      <c r="A249" s="18" t="s">
        <v>250</v>
      </c>
      <c r="B249" s="22">
        <v>2105500</v>
      </c>
      <c r="C249" s="1">
        <v>43924</v>
      </c>
      <c r="D249" s="19">
        <v>0.25</v>
      </c>
      <c r="E249" s="22" t="s">
        <v>251</v>
      </c>
      <c r="F249" s="22">
        <v>3430</v>
      </c>
      <c r="G249" s="22" t="s">
        <v>252</v>
      </c>
      <c r="H249" s="22">
        <v>2.9</v>
      </c>
      <c r="I249" s="22" t="s">
        <v>252</v>
      </c>
      <c r="J249" s="22">
        <v>0</v>
      </c>
      <c r="K249" s="22" t="s">
        <v>253</v>
      </c>
      <c r="L249" s="5">
        <f t="shared" si="6"/>
        <v>900.00000000000159</v>
      </c>
      <c r="M249" s="21">
        <f t="shared" si="7"/>
        <v>23092303.500000041</v>
      </c>
    </row>
    <row r="250" spans="1:13">
      <c r="A250" s="18" t="s">
        <v>250</v>
      </c>
      <c r="B250" s="22">
        <v>2105500</v>
      </c>
      <c r="C250" s="1">
        <v>43924</v>
      </c>
      <c r="D250" s="19">
        <v>0.26041666666666669</v>
      </c>
      <c r="E250" s="22" t="s">
        <v>251</v>
      </c>
      <c r="F250" s="22">
        <v>3430</v>
      </c>
      <c r="G250" s="22" t="s">
        <v>252</v>
      </c>
      <c r="H250" s="22">
        <v>2.9</v>
      </c>
      <c r="I250" s="22" t="s">
        <v>252</v>
      </c>
      <c r="J250" s="22">
        <v>0</v>
      </c>
      <c r="K250" s="22" t="s">
        <v>253</v>
      </c>
      <c r="L250" s="5">
        <f t="shared" si="6"/>
        <v>899.99999999999682</v>
      </c>
      <c r="M250" s="21">
        <f t="shared" si="7"/>
        <v>23092303.499999922</v>
      </c>
    </row>
    <row r="251" spans="1:13">
      <c r="A251" s="18" t="s">
        <v>250</v>
      </c>
      <c r="B251" s="22">
        <v>2105500</v>
      </c>
      <c r="C251" s="1">
        <v>43924</v>
      </c>
      <c r="D251" s="19">
        <v>0.27083333333333331</v>
      </c>
      <c r="E251" s="22" t="s">
        <v>251</v>
      </c>
      <c r="F251" s="22">
        <v>3410</v>
      </c>
      <c r="G251" s="22" t="s">
        <v>252</v>
      </c>
      <c r="H251" s="22">
        <v>2.89</v>
      </c>
      <c r="I251" s="22" t="s">
        <v>252</v>
      </c>
      <c r="J251" s="22">
        <v>0</v>
      </c>
      <c r="K251" s="22" t="s">
        <v>253</v>
      </c>
      <c r="L251" s="5">
        <f t="shared" si="6"/>
        <v>900.00000000000159</v>
      </c>
      <c r="M251" s="21">
        <f t="shared" si="7"/>
        <v>22957654.500000041</v>
      </c>
    </row>
    <row r="252" spans="1:13">
      <c r="A252" s="18" t="s">
        <v>250</v>
      </c>
      <c r="B252" s="22">
        <v>2105500</v>
      </c>
      <c r="C252" s="1">
        <v>43924</v>
      </c>
      <c r="D252" s="19">
        <v>0.28125</v>
      </c>
      <c r="E252" s="22" t="s">
        <v>251</v>
      </c>
      <c r="F252" s="22">
        <v>3410</v>
      </c>
      <c r="G252" s="22" t="s">
        <v>252</v>
      </c>
      <c r="H252" s="22">
        <v>2.89</v>
      </c>
      <c r="I252" s="22" t="s">
        <v>252</v>
      </c>
      <c r="J252" s="22">
        <v>0</v>
      </c>
      <c r="K252" s="22" t="s">
        <v>253</v>
      </c>
      <c r="L252" s="5">
        <f t="shared" si="6"/>
        <v>900.00000000000159</v>
      </c>
      <c r="M252" s="21">
        <f t="shared" si="7"/>
        <v>22957654.500000041</v>
      </c>
    </row>
    <row r="253" spans="1:13">
      <c r="A253" s="18" t="s">
        <v>250</v>
      </c>
      <c r="B253" s="22">
        <v>2105500</v>
      </c>
      <c r="C253" s="1">
        <v>43924</v>
      </c>
      <c r="D253" s="19">
        <v>0.29166666666666669</v>
      </c>
      <c r="E253" s="22" t="s">
        <v>251</v>
      </c>
      <c r="F253" s="22">
        <v>3410</v>
      </c>
      <c r="G253" s="22" t="s">
        <v>252</v>
      </c>
      <c r="H253" s="22">
        <v>2.89</v>
      </c>
      <c r="I253" s="22" t="s">
        <v>252</v>
      </c>
      <c r="J253" s="22">
        <v>0</v>
      </c>
      <c r="K253" s="22" t="s">
        <v>253</v>
      </c>
      <c r="L253" s="5">
        <f t="shared" si="6"/>
        <v>899.99999999999682</v>
      </c>
      <c r="M253" s="21">
        <f t="shared" si="7"/>
        <v>22957654.499999922</v>
      </c>
    </row>
    <row r="254" spans="1:13">
      <c r="A254" s="18" t="s">
        <v>250</v>
      </c>
      <c r="B254" s="22">
        <v>2105500</v>
      </c>
      <c r="C254" s="1">
        <v>43924</v>
      </c>
      <c r="D254" s="19">
        <v>0.30208333333333331</v>
      </c>
      <c r="E254" s="22" t="s">
        <v>251</v>
      </c>
      <c r="F254" s="22">
        <v>3390</v>
      </c>
      <c r="G254" s="22" t="s">
        <v>252</v>
      </c>
      <c r="H254" s="22">
        <v>2.88</v>
      </c>
      <c r="I254" s="22" t="s">
        <v>252</v>
      </c>
      <c r="J254" s="22">
        <v>0</v>
      </c>
      <c r="K254" s="22" t="s">
        <v>253</v>
      </c>
      <c r="L254" s="5">
        <f t="shared" si="6"/>
        <v>900.00000000000159</v>
      </c>
      <c r="M254" s="21">
        <f t="shared" si="7"/>
        <v>22823005.500000041</v>
      </c>
    </row>
    <row r="255" spans="1:13">
      <c r="A255" s="18" t="s">
        <v>250</v>
      </c>
      <c r="B255" s="22">
        <v>2105500</v>
      </c>
      <c r="C255" s="1">
        <v>43924</v>
      </c>
      <c r="D255" s="19">
        <v>0.3125</v>
      </c>
      <c r="E255" s="22" t="s">
        <v>251</v>
      </c>
      <c r="F255" s="22">
        <v>3390</v>
      </c>
      <c r="G255" s="22" t="s">
        <v>252</v>
      </c>
      <c r="H255" s="22">
        <v>2.88</v>
      </c>
      <c r="I255" s="22" t="s">
        <v>252</v>
      </c>
      <c r="J255" s="22">
        <v>0</v>
      </c>
      <c r="K255" s="22" t="s">
        <v>253</v>
      </c>
      <c r="L255" s="5">
        <f t="shared" si="6"/>
        <v>900.00000000000159</v>
      </c>
      <c r="M255" s="21">
        <f t="shared" si="7"/>
        <v>22823005.500000041</v>
      </c>
    </row>
    <row r="256" spans="1:13">
      <c r="A256" s="18" t="s">
        <v>250</v>
      </c>
      <c r="B256" s="22">
        <v>2105500</v>
      </c>
      <c r="C256" s="1">
        <v>43924</v>
      </c>
      <c r="D256" s="19">
        <v>0.32291666666666669</v>
      </c>
      <c r="E256" s="22" t="s">
        <v>251</v>
      </c>
      <c r="F256" s="22">
        <v>3390</v>
      </c>
      <c r="G256" s="22" t="s">
        <v>252</v>
      </c>
      <c r="H256" s="22">
        <v>2.88</v>
      </c>
      <c r="I256" s="22" t="s">
        <v>252</v>
      </c>
      <c r="J256" s="22">
        <v>0</v>
      </c>
      <c r="K256" s="22" t="s">
        <v>253</v>
      </c>
      <c r="L256" s="5">
        <f t="shared" si="6"/>
        <v>899.99999999999682</v>
      </c>
      <c r="M256" s="21">
        <f t="shared" si="7"/>
        <v>22823005.499999922</v>
      </c>
    </row>
    <row r="257" spans="1:13">
      <c r="A257" s="18" t="s">
        <v>250</v>
      </c>
      <c r="B257" s="22">
        <v>2105500</v>
      </c>
      <c r="C257" s="1">
        <v>43924</v>
      </c>
      <c r="D257" s="19">
        <v>0.33333333333333331</v>
      </c>
      <c r="E257" s="22" t="s">
        <v>251</v>
      </c>
      <c r="F257" s="22">
        <v>3370</v>
      </c>
      <c r="G257" s="22" t="s">
        <v>252</v>
      </c>
      <c r="H257" s="22">
        <v>2.87</v>
      </c>
      <c r="I257" s="22" t="s">
        <v>252</v>
      </c>
      <c r="J257" s="22">
        <v>0</v>
      </c>
      <c r="K257" s="22" t="s">
        <v>253</v>
      </c>
      <c r="L257" s="5">
        <f t="shared" si="6"/>
        <v>900.00000000000159</v>
      </c>
      <c r="M257" s="21">
        <f t="shared" si="7"/>
        <v>22688356.500000041</v>
      </c>
    </row>
    <row r="258" spans="1:13">
      <c r="A258" s="18" t="s">
        <v>250</v>
      </c>
      <c r="B258" s="22">
        <v>2105500</v>
      </c>
      <c r="C258" s="1">
        <v>43924</v>
      </c>
      <c r="D258" s="19">
        <v>0.34375</v>
      </c>
      <c r="E258" s="22" t="s">
        <v>251</v>
      </c>
      <c r="F258" s="22">
        <v>3370</v>
      </c>
      <c r="G258" s="22" t="s">
        <v>252</v>
      </c>
      <c r="H258" s="22">
        <v>2.87</v>
      </c>
      <c r="I258" s="22" t="s">
        <v>252</v>
      </c>
      <c r="J258" s="22">
        <v>0</v>
      </c>
      <c r="K258" s="22" t="s">
        <v>253</v>
      </c>
      <c r="L258" s="5">
        <f t="shared" si="6"/>
        <v>900.00000000000159</v>
      </c>
      <c r="M258" s="21">
        <f t="shared" si="7"/>
        <v>22688356.500000041</v>
      </c>
    </row>
    <row r="259" spans="1:13">
      <c r="A259" s="18" t="s">
        <v>250</v>
      </c>
      <c r="B259" s="22">
        <v>2105500</v>
      </c>
      <c r="C259" s="1">
        <v>43924</v>
      </c>
      <c r="D259" s="19">
        <v>0.35416666666666669</v>
      </c>
      <c r="E259" s="22" t="s">
        <v>251</v>
      </c>
      <c r="F259" s="22">
        <v>3370</v>
      </c>
      <c r="G259" s="22" t="s">
        <v>252</v>
      </c>
      <c r="H259" s="22">
        <v>2.87</v>
      </c>
      <c r="I259" s="22" t="s">
        <v>252</v>
      </c>
      <c r="J259" s="22">
        <v>0</v>
      </c>
      <c r="K259" s="22" t="s">
        <v>253</v>
      </c>
      <c r="L259" s="5">
        <f t="shared" si="6"/>
        <v>899.99999999999682</v>
      </c>
      <c r="M259" s="21">
        <f t="shared" si="7"/>
        <v>22688356.499999922</v>
      </c>
    </row>
    <row r="260" spans="1:13">
      <c r="A260" s="18" t="s">
        <v>250</v>
      </c>
      <c r="B260" s="22">
        <v>2105500</v>
      </c>
      <c r="C260" s="1">
        <v>43924</v>
      </c>
      <c r="D260" s="19">
        <v>0.36458333333333331</v>
      </c>
      <c r="E260" s="22" t="s">
        <v>251</v>
      </c>
      <c r="F260" s="22">
        <v>3350</v>
      </c>
      <c r="G260" s="22" t="s">
        <v>252</v>
      </c>
      <c r="H260" s="22">
        <v>2.86</v>
      </c>
      <c r="I260" s="22" t="s">
        <v>252</v>
      </c>
      <c r="J260" s="22">
        <v>0</v>
      </c>
      <c r="K260" s="22" t="s">
        <v>253</v>
      </c>
      <c r="L260" s="5">
        <f t="shared" si="6"/>
        <v>900.00000000000159</v>
      </c>
      <c r="M260" s="21">
        <f t="shared" si="7"/>
        <v>22553707.500000037</v>
      </c>
    </row>
    <row r="261" spans="1:13">
      <c r="A261" s="18" t="s">
        <v>250</v>
      </c>
      <c r="B261" s="22">
        <v>2105500</v>
      </c>
      <c r="C261" s="1">
        <v>43924</v>
      </c>
      <c r="D261" s="19">
        <v>0.375</v>
      </c>
      <c r="E261" s="22" t="s">
        <v>251</v>
      </c>
      <c r="F261" s="22">
        <v>3350</v>
      </c>
      <c r="G261" s="22" t="s">
        <v>252</v>
      </c>
      <c r="H261" s="22">
        <v>2.86</v>
      </c>
      <c r="I261" s="22" t="s">
        <v>252</v>
      </c>
      <c r="J261" s="22">
        <v>0</v>
      </c>
      <c r="K261" s="22" t="s">
        <v>253</v>
      </c>
      <c r="L261" s="5">
        <f t="shared" si="6"/>
        <v>900.00000000000159</v>
      </c>
      <c r="M261" s="21">
        <f t="shared" si="7"/>
        <v>22553707.500000037</v>
      </c>
    </row>
    <row r="262" spans="1:13">
      <c r="A262" s="18" t="s">
        <v>250</v>
      </c>
      <c r="B262" s="22">
        <v>2105500</v>
      </c>
      <c r="C262" s="1">
        <v>43924</v>
      </c>
      <c r="D262" s="19">
        <v>0.38541666666666669</v>
      </c>
      <c r="E262" s="22" t="s">
        <v>251</v>
      </c>
      <c r="F262" s="22">
        <v>3350</v>
      </c>
      <c r="G262" s="22" t="s">
        <v>252</v>
      </c>
      <c r="H262" s="22">
        <v>2.86</v>
      </c>
      <c r="I262" s="22" t="s">
        <v>252</v>
      </c>
      <c r="J262" s="22">
        <v>0</v>
      </c>
      <c r="K262" s="22" t="s">
        <v>253</v>
      </c>
      <c r="L262" s="5">
        <f t="shared" si="6"/>
        <v>899.99999999999682</v>
      </c>
      <c r="M262" s="21">
        <f t="shared" si="7"/>
        <v>22553707.499999922</v>
      </c>
    </row>
    <row r="263" spans="1:13">
      <c r="A263" s="18" t="s">
        <v>250</v>
      </c>
      <c r="B263" s="22">
        <v>2105500</v>
      </c>
      <c r="C263" s="1">
        <v>43924</v>
      </c>
      <c r="D263" s="19">
        <v>0.39583333333333331</v>
      </c>
      <c r="E263" s="22" t="s">
        <v>251</v>
      </c>
      <c r="F263" s="22">
        <v>3350</v>
      </c>
      <c r="G263" s="22" t="s">
        <v>252</v>
      </c>
      <c r="H263" s="22">
        <v>2.86</v>
      </c>
      <c r="I263" s="22" t="s">
        <v>252</v>
      </c>
      <c r="J263" s="22">
        <v>0</v>
      </c>
      <c r="K263" s="22" t="s">
        <v>253</v>
      </c>
      <c r="L263" s="5">
        <f t="shared" si="6"/>
        <v>900.00000000000159</v>
      </c>
      <c r="M263" s="21">
        <f t="shared" si="7"/>
        <v>22553707.500000037</v>
      </c>
    </row>
    <row r="264" spans="1:13">
      <c r="A264" s="18" t="s">
        <v>250</v>
      </c>
      <c r="B264" s="22">
        <v>2105500</v>
      </c>
      <c r="C264" s="1">
        <v>43924</v>
      </c>
      <c r="D264" s="19">
        <v>0.40625</v>
      </c>
      <c r="E264" s="22" t="s">
        <v>251</v>
      </c>
      <c r="F264" s="22">
        <v>3330</v>
      </c>
      <c r="G264" s="22" t="s">
        <v>252</v>
      </c>
      <c r="H264" s="22">
        <v>2.85</v>
      </c>
      <c r="I264" s="22" t="s">
        <v>252</v>
      </c>
      <c r="J264" s="22">
        <v>0</v>
      </c>
      <c r="K264" s="22" t="s">
        <v>253</v>
      </c>
      <c r="L264" s="5">
        <f t="shared" si="6"/>
        <v>900.00000000000159</v>
      </c>
      <c r="M264" s="21">
        <f t="shared" si="7"/>
        <v>22419058.500000037</v>
      </c>
    </row>
    <row r="265" spans="1:13">
      <c r="A265" s="18" t="s">
        <v>250</v>
      </c>
      <c r="B265" s="22">
        <v>2105500</v>
      </c>
      <c r="C265" s="1">
        <v>43924</v>
      </c>
      <c r="D265" s="19">
        <v>0.41666666666666669</v>
      </c>
      <c r="E265" s="22" t="s">
        <v>251</v>
      </c>
      <c r="F265" s="22">
        <v>3330</v>
      </c>
      <c r="G265" s="22" t="s">
        <v>252</v>
      </c>
      <c r="H265" s="22">
        <v>2.85</v>
      </c>
      <c r="I265" s="22" t="s">
        <v>252</v>
      </c>
      <c r="J265" s="22">
        <v>0</v>
      </c>
      <c r="K265" s="22" t="s">
        <v>253</v>
      </c>
      <c r="L265" s="5">
        <f t="shared" si="6"/>
        <v>899.99999999999682</v>
      </c>
      <c r="M265" s="21">
        <f t="shared" si="7"/>
        <v>22419058.499999922</v>
      </c>
    </row>
    <row r="266" spans="1:13">
      <c r="A266" s="18" t="s">
        <v>250</v>
      </c>
      <c r="B266" s="22">
        <v>2105500</v>
      </c>
      <c r="C266" s="1">
        <v>43924</v>
      </c>
      <c r="D266" s="19">
        <v>0.42708333333333331</v>
      </c>
      <c r="E266" s="22" t="s">
        <v>251</v>
      </c>
      <c r="F266" s="22">
        <v>3330</v>
      </c>
      <c r="G266" s="22" t="s">
        <v>252</v>
      </c>
      <c r="H266" s="22">
        <v>2.85</v>
      </c>
      <c r="I266" s="22" t="s">
        <v>252</v>
      </c>
      <c r="J266" s="22">
        <v>0</v>
      </c>
      <c r="K266" s="22" t="s">
        <v>253</v>
      </c>
      <c r="L266" s="5">
        <f t="shared" si="6"/>
        <v>900.00000000000159</v>
      </c>
      <c r="M266" s="21">
        <f t="shared" si="7"/>
        <v>22419058.500000037</v>
      </c>
    </row>
    <row r="267" spans="1:13">
      <c r="A267" s="18" t="s">
        <v>250</v>
      </c>
      <c r="B267" s="22">
        <v>2105500</v>
      </c>
      <c r="C267" s="1">
        <v>43924</v>
      </c>
      <c r="D267" s="19">
        <v>0.4375</v>
      </c>
      <c r="E267" s="22" t="s">
        <v>251</v>
      </c>
      <c r="F267" s="22">
        <v>3330</v>
      </c>
      <c r="G267" s="22" t="s">
        <v>252</v>
      </c>
      <c r="H267" s="22">
        <v>2.85</v>
      </c>
      <c r="I267" s="22" t="s">
        <v>252</v>
      </c>
      <c r="J267" s="22">
        <v>0</v>
      </c>
      <c r="K267" s="22" t="s">
        <v>253</v>
      </c>
      <c r="L267" s="5">
        <f t="shared" si="6"/>
        <v>900.00000000000159</v>
      </c>
      <c r="M267" s="21">
        <f t="shared" si="7"/>
        <v>22419058.500000037</v>
      </c>
    </row>
    <row r="268" spans="1:13">
      <c r="A268" s="18" t="s">
        <v>250</v>
      </c>
      <c r="B268" s="22">
        <v>2105500</v>
      </c>
      <c r="C268" s="1">
        <v>43924</v>
      </c>
      <c r="D268" s="19">
        <v>0.44791666666666669</v>
      </c>
      <c r="E268" s="22" t="s">
        <v>251</v>
      </c>
      <c r="F268" s="22">
        <v>3310</v>
      </c>
      <c r="G268" s="22" t="s">
        <v>252</v>
      </c>
      <c r="H268" s="22">
        <v>2.84</v>
      </c>
      <c r="I268" s="22" t="s">
        <v>252</v>
      </c>
      <c r="J268" s="22">
        <v>0</v>
      </c>
      <c r="K268" s="22" t="s">
        <v>253</v>
      </c>
      <c r="L268" s="5">
        <f t="shared" si="6"/>
        <v>899.99999999999682</v>
      </c>
      <c r="M268" s="21">
        <f t="shared" si="7"/>
        <v>22284409.499999922</v>
      </c>
    </row>
    <row r="269" spans="1:13">
      <c r="A269" s="18" t="s">
        <v>250</v>
      </c>
      <c r="B269" s="22">
        <v>2105500</v>
      </c>
      <c r="C269" s="1">
        <v>43924</v>
      </c>
      <c r="D269" s="19">
        <v>0.45833333333333331</v>
      </c>
      <c r="E269" s="22" t="s">
        <v>251</v>
      </c>
      <c r="F269" s="22">
        <v>3310</v>
      </c>
      <c r="G269" s="22" t="s">
        <v>252</v>
      </c>
      <c r="H269" s="22">
        <v>2.84</v>
      </c>
      <c r="I269" s="22" t="s">
        <v>252</v>
      </c>
      <c r="J269" s="22">
        <v>0</v>
      </c>
      <c r="K269" s="22" t="s">
        <v>253</v>
      </c>
      <c r="L269" s="5">
        <f t="shared" si="6"/>
        <v>900.00000000000159</v>
      </c>
      <c r="M269" s="21">
        <f t="shared" si="7"/>
        <v>22284409.500000037</v>
      </c>
    </row>
    <row r="270" spans="1:13">
      <c r="A270" s="18" t="s">
        <v>250</v>
      </c>
      <c r="B270" s="22">
        <v>2105500</v>
      </c>
      <c r="C270" s="1">
        <v>43924</v>
      </c>
      <c r="D270" s="19">
        <v>0.46875</v>
      </c>
      <c r="E270" s="22" t="s">
        <v>251</v>
      </c>
      <c r="F270" s="22">
        <v>3310</v>
      </c>
      <c r="G270" s="22" t="s">
        <v>252</v>
      </c>
      <c r="H270" s="22">
        <v>2.84</v>
      </c>
      <c r="I270" s="22" t="s">
        <v>252</v>
      </c>
      <c r="J270" s="22">
        <v>0</v>
      </c>
      <c r="K270" s="22" t="s">
        <v>253</v>
      </c>
      <c r="L270" s="5">
        <f t="shared" si="6"/>
        <v>900.00000000000159</v>
      </c>
      <c r="M270" s="21">
        <f t="shared" si="7"/>
        <v>22284409.500000037</v>
      </c>
    </row>
    <row r="271" spans="1:13">
      <c r="A271" s="18" t="s">
        <v>250</v>
      </c>
      <c r="B271" s="22">
        <v>2105500</v>
      </c>
      <c r="C271" s="1">
        <v>43924</v>
      </c>
      <c r="D271" s="19">
        <v>0.47916666666666669</v>
      </c>
      <c r="E271" s="22" t="s">
        <v>251</v>
      </c>
      <c r="F271" s="22">
        <v>3290</v>
      </c>
      <c r="G271" s="22" t="s">
        <v>252</v>
      </c>
      <c r="H271" s="22">
        <v>2.83</v>
      </c>
      <c r="I271" s="22" t="s">
        <v>252</v>
      </c>
      <c r="J271" s="22">
        <v>0</v>
      </c>
      <c r="K271" s="22" t="s">
        <v>253</v>
      </c>
      <c r="L271" s="5">
        <f t="shared" si="6"/>
        <v>899.99999999999682</v>
      </c>
      <c r="M271" s="21">
        <f t="shared" si="7"/>
        <v>22149760.499999925</v>
      </c>
    </row>
    <row r="272" spans="1:13">
      <c r="A272" s="18" t="s">
        <v>250</v>
      </c>
      <c r="B272" s="22">
        <v>2105500</v>
      </c>
      <c r="C272" s="1">
        <v>43924</v>
      </c>
      <c r="D272" s="19">
        <v>0.48958333333333331</v>
      </c>
      <c r="E272" s="22" t="s">
        <v>251</v>
      </c>
      <c r="F272" s="22">
        <v>3290</v>
      </c>
      <c r="G272" s="22" t="s">
        <v>252</v>
      </c>
      <c r="H272" s="22">
        <v>2.83</v>
      </c>
      <c r="I272" s="22" t="s">
        <v>252</v>
      </c>
      <c r="J272" s="22">
        <v>0</v>
      </c>
      <c r="K272" s="22" t="s">
        <v>253</v>
      </c>
      <c r="L272" s="5">
        <f t="shared" si="6"/>
        <v>900.00000000000159</v>
      </c>
      <c r="M272" s="21">
        <f t="shared" si="7"/>
        <v>22149760.500000037</v>
      </c>
    </row>
    <row r="273" spans="1:13">
      <c r="A273" s="18" t="s">
        <v>250</v>
      </c>
      <c r="B273" s="22">
        <v>2105500</v>
      </c>
      <c r="C273" s="1">
        <v>43924</v>
      </c>
      <c r="D273" s="19">
        <v>0.5</v>
      </c>
      <c r="E273" s="22" t="s">
        <v>251</v>
      </c>
      <c r="F273" s="22">
        <v>3270</v>
      </c>
      <c r="G273" s="22" t="s">
        <v>252</v>
      </c>
      <c r="H273" s="22">
        <v>2.82</v>
      </c>
      <c r="I273" s="22" t="s">
        <v>252</v>
      </c>
      <c r="J273" s="22">
        <v>0</v>
      </c>
      <c r="K273" s="22" t="s">
        <v>253</v>
      </c>
      <c r="L273" s="5">
        <f t="shared" si="6"/>
        <v>899.99999999999682</v>
      </c>
      <c r="M273" s="21">
        <f t="shared" si="7"/>
        <v>22015111.499999925</v>
      </c>
    </row>
    <row r="274" spans="1:13">
      <c r="A274" s="18" t="s">
        <v>250</v>
      </c>
      <c r="B274" s="22">
        <v>2105500</v>
      </c>
      <c r="C274" s="1">
        <v>43924</v>
      </c>
      <c r="D274" s="19">
        <v>0.51041666666666663</v>
      </c>
      <c r="E274" s="22" t="s">
        <v>251</v>
      </c>
      <c r="F274" s="22">
        <v>3290</v>
      </c>
      <c r="G274" s="22" t="s">
        <v>252</v>
      </c>
      <c r="H274" s="22">
        <v>2.83</v>
      </c>
      <c r="I274" s="22" t="s">
        <v>252</v>
      </c>
      <c r="J274" s="22">
        <v>0</v>
      </c>
      <c r="K274" s="22" t="s">
        <v>253</v>
      </c>
      <c r="L274" s="5">
        <f t="shared" si="6"/>
        <v>900.00000000000637</v>
      </c>
      <c r="M274" s="21">
        <f t="shared" si="7"/>
        <v>22149760.500000156</v>
      </c>
    </row>
    <row r="275" spans="1:13">
      <c r="A275" s="18" t="s">
        <v>250</v>
      </c>
      <c r="B275" s="22">
        <v>2105500</v>
      </c>
      <c r="C275" s="1">
        <v>43924</v>
      </c>
      <c r="D275" s="19">
        <v>0.52083333333333337</v>
      </c>
      <c r="E275" s="22" t="s">
        <v>251</v>
      </c>
      <c r="F275" s="22">
        <v>3250</v>
      </c>
      <c r="G275" s="22" t="s">
        <v>252</v>
      </c>
      <c r="H275" s="22">
        <v>2.81</v>
      </c>
      <c r="I275" s="22" t="s">
        <v>252</v>
      </c>
      <c r="J275" s="22">
        <v>0</v>
      </c>
      <c r="K275" s="22" t="s">
        <v>253</v>
      </c>
      <c r="L275" s="5">
        <f t="shared" si="6"/>
        <v>899.99999999999682</v>
      </c>
      <c r="M275" s="21">
        <f t="shared" si="7"/>
        <v>21880462.499999925</v>
      </c>
    </row>
    <row r="276" spans="1:13">
      <c r="A276" s="18" t="s">
        <v>250</v>
      </c>
      <c r="B276" s="22">
        <v>2105500</v>
      </c>
      <c r="C276" s="1">
        <v>43924</v>
      </c>
      <c r="D276" s="19">
        <v>0.53125</v>
      </c>
      <c r="E276" s="22" t="s">
        <v>251</v>
      </c>
      <c r="F276" s="22">
        <v>3250</v>
      </c>
      <c r="G276" s="22" t="s">
        <v>252</v>
      </c>
      <c r="H276" s="22">
        <v>2.81</v>
      </c>
      <c r="I276" s="22" t="s">
        <v>252</v>
      </c>
      <c r="J276" s="22">
        <v>0</v>
      </c>
      <c r="K276" s="22" t="s">
        <v>253</v>
      </c>
      <c r="L276" s="5">
        <f t="shared" si="6"/>
        <v>899.99999999999682</v>
      </c>
      <c r="M276" s="21">
        <f t="shared" si="7"/>
        <v>21880462.499999925</v>
      </c>
    </row>
    <row r="277" spans="1:13">
      <c r="A277" s="18" t="s">
        <v>250</v>
      </c>
      <c r="B277" s="22">
        <v>2105500</v>
      </c>
      <c r="C277" s="1">
        <v>43924</v>
      </c>
      <c r="D277" s="19">
        <v>0.54166666666666663</v>
      </c>
      <c r="E277" s="22" t="s">
        <v>251</v>
      </c>
      <c r="F277" s="22">
        <v>3230</v>
      </c>
      <c r="G277" s="22" t="s">
        <v>252</v>
      </c>
      <c r="H277" s="22">
        <v>2.8</v>
      </c>
      <c r="I277" s="22" t="s">
        <v>252</v>
      </c>
      <c r="J277" s="22">
        <v>0</v>
      </c>
      <c r="K277" s="22" t="s">
        <v>253</v>
      </c>
      <c r="L277" s="5">
        <f t="shared" si="6"/>
        <v>900.00000000000637</v>
      </c>
      <c r="M277" s="21">
        <f t="shared" si="7"/>
        <v>21745813.500000153</v>
      </c>
    </row>
    <row r="278" spans="1:13">
      <c r="A278" s="18" t="s">
        <v>250</v>
      </c>
      <c r="B278" s="22">
        <v>2105500</v>
      </c>
      <c r="C278" s="1">
        <v>43924</v>
      </c>
      <c r="D278" s="19">
        <v>0.55208333333333337</v>
      </c>
      <c r="E278" s="22" t="s">
        <v>251</v>
      </c>
      <c r="F278" s="22">
        <v>3230</v>
      </c>
      <c r="G278" s="22" t="s">
        <v>252</v>
      </c>
      <c r="H278" s="22">
        <v>2.8</v>
      </c>
      <c r="I278" s="22" t="s">
        <v>252</v>
      </c>
      <c r="J278" s="22">
        <v>0</v>
      </c>
      <c r="K278" s="22" t="s">
        <v>253</v>
      </c>
      <c r="L278" s="5">
        <f t="shared" si="6"/>
        <v>899.99999999999682</v>
      </c>
      <c r="M278" s="21">
        <f t="shared" si="7"/>
        <v>21745813.499999925</v>
      </c>
    </row>
    <row r="279" spans="1:13">
      <c r="A279" s="18" t="s">
        <v>250</v>
      </c>
      <c r="B279" s="22">
        <v>2105500</v>
      </c>
      <c r="C279" s="1">
        <v>43924</v>
      </c>
      <c r="D279" s="19">
        <v>0.5625</v>
      </c>
      <c r="E279" s="22" t="s">
        <v>251</v>
      </c>
      <c r="F279" s="22">
        <v>3210</v>
      </c>
      <c r="G279" s="22" t="s">
        <v>252</v>
      </c>
      <c r="H279" s="22">
        <v>2.79</v>
      </c>
      <c r="I279" s="22" t="s">
        <v>252</v>
      </c>
      <c r="J279" s="22">
        <v>0</v>
      </c>
      <c r="K279" s="22" t="s">
        <v>253</v>
      </c>
      <c r="L279" s="5">
        <f t="shared" si="6"/>
        <v>899.99999999999682</v>
      </c>
      <c r="M279" s="21">
        <f t="shared" si="7"/>
        <v>21611164.499999925</v>
      </c>
    </row>
    <row r="280" spans="1:13">
      <c r="A280" s="18" t="s">
        <v>250</v>
      </c>
      <c r="B280" s="22">
        <v>2105500</v>
      </c>
      <c r="C280" s="1">
        <v>43924</v>
      </c>
      <c r="D280" s="19">
        <v>0.57291666666666663</v>
      </c>
      <c r="E280" s="22" t="s">
        <v>251</v>
      </c>
      <c r="F280" s="22">
        <v>3210</v>
      </c>
      <c r="G280" s="22" t="s">
        <v>252</v>
      </c>
      <c r="H280" s="22">
        <v>2.79</v>
      </c>
      <c r="I280" s="22" t="s">
        <v>252</v>
      </c>
      <c r="J280" s="22">
        <v>0</v>
      </c>
      <c r="K280" s="22" t="s">
        <v>253</v>
      </c>
      <c r="L280" s="5">
        <f t="shared" si="6"/>
        <v>900.00000000000637</v>
      </c>
      <c r="M280" s="21">
        <f t="shared" si="7"/>
        <v>21611164.500000153</v>
      </c>
    </row>
    <row r="281" spans="1:13">
      <c r="A281" s="18" t="s">
        <v>250</v>
      </c>
      <c r="B281" s="22">
        <v>2105500</v>
      </c>
      <c r="C281" s="1">
        <v>43924</v>
      </c>
      <c r="D281" s="19">
        <v>0.58333333333333337</v>
      </c>
      <c r="E281" s="22" t="s">
        <v>251</v>
      </c>
      <c r="F281" s="22">
        <v>3230</v>
      </c>
      <c r="G281" s="22" t="s">
        <v>252</v>
      </c>
      <c r="H281" s="22">
        <v>2.8</v>
      </c>
      <c r="I281" s="22" t="s">
        <v>252</v>
      </c>
      <c r="J281" s="22">
        <v>0</v>
      </c>
      <c r="K281" s="22" t="s">
        <v>253</v>
      </c>
      <c r="L281" s="5">
        <f t="shared" si="6"/>
        <v>899.99999999999682</v>
      </c>
      <c r="M281" s="21">
        <f t="shared" si="7"/>
        <v>21745813.499999925</v>
      </c>
    </row>
    <row r="282" spans="1:13">
      <c r="A282" s="18" t="s">
        <v>250</v>
      </c>
      <c r="B282" s="22">
        <v>2105500</v>
      </c>
      <c r="C282" s="1">
        <v>43924</v>
      </c>
      <c r="D282" s="19">
        <v>0.59375</v>
      </c>
      <c r="E282" s="22" t="s">
        <v>251</v>
      </c>
      <c r="F282" s="22">
        <v>3190</v>
      </c>
      <c r="G282" s="22" t="s">
        <v>252</v>
      </c>
      <c r="H282" s="22">
        <v>2.78</v>
      </c>
      <c r="I282" s="22" t="s">
        <v>252</v>
      </c>
      <c r="J282" s="22">
        <v>0</v>
      </c>
      <c r="K282" s="22" t="s">
        <v>253</v>
      </c>
      <c r="L282" s="5">
        <f t="shared" si="6"/>
        <v>899.99999999999682</v>
      </c>
      <c r="M282" s="21">
        <f t="shared" si="7"/>
        <v>21476515.499999925</v>
      </c>
    </row>
    <row r="283" spans="1:13">
      <c r="A283" s="18" t="s">
        <v>250</v>
      </c>
      <c r="B283" s="22">
        <v>2105500</v>
      </c>
      <c r="C283" s="1">
        <v>43924</v>
      </c>
      <c r="D283" s="19">
        <v>0.60416666666666663</v>
      </c>
      <c r="E283" s="22" t="s">
        <v>251</v>
      </c>
      <c r="F283" s="22">
        <v>3230</v>
      </c>
      <c r="G283" s="22" t="s">
        <v>252</v>
      </c>
      <c r="H283" s="22">
        <v>2.8</v>
      </c>
      <c r="I283" s="22" t="s">
        <v>252</v>
      </c>
      <c r="J283" s="22">
        <v>0</v>
      </c>
      <c r="K283" s="22" t="s">
        <v>253</v>
      </c>
      <c r="L283" s="5">
        <f t="shared" si="6"/>
        <v>900.00000000000637</v>
      </c>
      <c r="M283" s="21">
        <f t="shared" si="7"/>
        <v>21745813.500000153</v>
      </c>
    </row>
    <row r="284" spans="1:13">
      <c r="A284" s="18" t="s">
        <v>250</v>
      </c>
      <c r="B284" s="22">
        <v>2105500</v>
      </c>
      <c r="C284" s="1">
        <v>43924</v>
      </c>
      <c r="D284" s="19">
        <v>0.61458333333333337</v>
      </c>
      <c r="E284" s="22" t="s">
        <v>251</v>
      </c>
      <c r="F284" s="22">
        <v>3190</v>
      </c>
      <c r="G284" s="22" t="s">
        <v>252</v>
      </c>
      <c r="H284" s="22">
        <v>2.78</v>
      </c>
      <c r="I284" s="22" t="s">
        <v>252</v>
      </c>
      <c r="J284" s="22">
        <v>0</v>
      </c>
      <c r="K284" s="22" t="s">
        <v>253</v>
      </c>
      <c r="L284" s="5">
        <f t="shared" si="6"/>
        <v>899.99999999999682</v>
      </c>
      <c r="M284" s="21">
        <f t="shared" si="7"/>
        <v>21476515.499999925</v>
      </c>
    </row>
    <row r="285" spans="1:13">
      <c r="A285" s="18" t="s">
        <v>250</v>
      </c>
      <c r="B285" s="22">
        <v>2105500</v>
      </c>
      <c r="C285" s="1">
        <v>43924</v>
      </c>
      <c r="D285" s="19">
        <v>0.625</v>
      </c>
      <c r="E285" s="22" t="s">
        <v>251</v>
      </c>
      <c r="F285" s="22">
        <v>3170</v>
      </c>
      <c r="G285" s="22" t="s">
        <v>252</v>
      </c>
      <c r="H285" s="22">
        <v>2.77</v>
      </c>
      <c r="I285" s="22" t="s">
        <v>252</v>
      </c>
      <c r="J285" s="22">
        <v>0</v>
      </c>
      <c r="K285" s="22" t="s">
        <v>253</v>
      </c>
      <c r="L285" s="5">
        <f t="shared" si="6"/>
        <v>899.99999999999682</v>
      </c>
      <c r="M285" s="21">
        <f t="shared" si="7"/>
        <v>21341866.499999925</v>
      </c>
    </row>
    <row r="286" spans="1:13">
      <c r="A286" s="18" t="s">
        <v>250</v>
      </c>
      <c r="B286" s="22">
        <v>2105500</v>
      </c>
      <c r="C286" s="1">
        <v>43924</v>
      </c>
      <c r="D286" s="19">
        <v>0.63541666666666663</v>
      </c>
      <c r="E286" s="22" t="s">
        <v>251</v>
      </c>
      <c r="F286" s="22">
        <v>3150</v>
      </c>
      <c r="G286" s="22" t="s">
        <v>252</v>
      </c>
      <c r="H286" s="22">
        <v>2.76</v>
      </c>
      <c r="I286" s="22" t="s">
        <v>252</v>
      </c>
      <c r="J286" s="22">
        <v>0</v>
      </c>
      <c r="K286" s="22" t="s">
        <v>253</v>
      </c>
      <c r="L286" s="5">
        <f t="shared" si="6"/>
        <v>900.00000000000637</v>
      </c>
      <c r="M286" s="21">
        <f t="shared" si="7"/>
        <v>21207217.500000149</v>
      </c>
    </row>
    <row r="287" spans="1:13">
      <c r="A287" s="18" t="s">
        <v>250</v>
      </c>
      <c r="B287" s="22">
        <v>2105500</v>
      </c>
      <c r="C287" s="1">
        <v>43924</v>
      </c>
      <c r="D287" s="19">
        <v>0.64583333333333337</v>
      </c>
      <c r="E287" s="22" t="s">
        <v>251</v>
      </c>
      <c r="F287" s="22">
        <v>3150</v>
      </c>
      <c r="G287" s="22" t="s">
        <v>252</v>
      </c>
      <c r="H287" s="22">
        <v>2.76</v>
      </c>
      <c r="I287" s="22" t="s">
        <v>252</v>
      </c>
      <c r="J287" s="22">
        <v>0</v>
      </c>
      <c r="K287" s="22" t="s">
        <v>253</v>
      </c>
      <c r="L287" s="5">
        <f t="shared" si="6"/>
        <v>899.99999999999682</v>
      </c>
      <c r="M287" s="21">
        <f t="shared" si="7"/>
        <v>21207217.499999925</v>
      </c>
    </row>
    <row r="288" spans="1:13">
      <c r="A288" s="18" t="s">
        <v>250</v>
      </c>
      <c r="B288" s="22">
        <v>2105500</v>
      </c>
      <c r="C288" s="1">
        <v>43924</v>
      </c>
      <c r="D288" s="19">
        <v>0.65625</v>
      </c>
      <c r="E288" s="22" t="s">
        <v>251</v>
      </c>
      <c r="F288" s="22">
        <v>3130</v>
      </c>
      <c r="G288" s="22" t="s">
        <v>252</v>
      </c>
      <c r="H288" s="22">
        <v>2.75</v>
      </c>
      <c r="I288" s="22" t="s">
        <v>252</v>
      </c>
      <c r="J288" s="22">
        <v>0</v>
      </c>
      <c r="K288" s="22" t="s">
        <v>253</v>
      </c>
      <c r="L288" s="5">
        <f t="shared" si="6"/>
        <v>899.99999999999682</v>
      </c>
      <c r="M288" s="21">
        <f t="shared" si="7"/>
        <v>21072568.499999925</v>
      </c>
    </row>
    <row r="289" spans="1:13">
      <c r="A289" s="18" t="s">
        <v>250</v>
      </c>
      <c r="B289" s="22">
        <v>2105500</v>
      </c>
      <c r="C289" s="1">
        <v>43924</v>
      </c>
      <c r="D289" s="19">
        <v>0.66666666666666663</v>
      </c>
      <c r="E289" s="22" t="s">
        <v>251</v>
      </c>
      <c r="F289" s="22">
        <v>3110</v>
      </c>
      <c r="G289" s="22" t="s">
        <v>252</v>
      </c>
      <c r="H289" s="22">
        <v>2.74</v>
      </c>
      <c r="I289" s="22" t="s">
        <v>252</v>
      </c>
      <c r="J289" s="22">
        <v>0</v>
      </c>
      <c r="K289" s="22" t="s">
        <v>253</v>
      </c>
      <c r="L289" s="5">
        <f t="shared" si="6"/>
        <v>900.00000000000637</v>
      </c>
      <c r="M289" s="21">
        <f t="shared" si="7"/>
        <v>20937919.500000149</v>
      </c>
    </row>
    <row r="290" spans="1:13">
      <c r="A290" s="18" t="s">
        <v>250</v>
      </c>
      <c r="B290" s="22">
        <v>2105500</v>
      </c>
      <c r="C290" s="1">
        <v>43924</v>
      </c>
      <c r="D290" s="19">
        <v>0.67708333333333337</v>
      </c>
      <c r="E290" s="22" t="s">
        <v>251</v>
      </c>
      <c r="F290" s="22">
        <v>3110</v>
      </c>
      <c r="G290" s="22" t="s">
        <v>252</v>
      </c>
      <c r="H290" s="22">
        <v>2.74</v>
      </c>
      <c r="I290" s="22" t="s">
        <v>252</v>
      </c>
      <c r="J290" s="22">
        <v>0</v>
      </c>
      <c r="K290" s="22" t="s">
        <v>253</v>
      </c>
      <c r="L290" s="5">
        <f t="shared" ref="L290:L353" si="8">CONVERT((D291-D290),"day","sec")</f>
        <v>899.99999999999682</v>
      </c>
      <c r="M290" s="21">
        <f t="shared" ref="M290:M353" si="9">F290*L290*7.4805</f>
        <v>20937919.499999925</v>
      </c>
    </row>
    <row r="291" spans="1:13">
      <c r="A291" s="18" t="s">
        <v>250</v>
      </c>
      <c r="B291" s="22">
        <v>2105500</v>
      </c>
      <c r="C291" s="1">
        <v>43924</v>
      </c>
      <c r="D291" s="19">
        <v>0.6875</v>
      </c>
      <c r="E291" s="22" t="s">
        <v>251</v>
      </c>
      <c r="F291" s="22">
        <v>3090</v>
      </c>
      <c r="G291" s="22" t="s">
        <v>252</v>
      </c>
      <c r="H291" s="22">
        <v>2.73</v>
      </c>
      <c r="I291" s="22" t="s">
        <v>252</v>
      </c>
      <c r="J291" s="22">
        <v>0</v>
      </c>
      <c r="K291" s="22" t="s">
        <v>253</v>
      </c>
      <c r="L291" s="5">
        <f t="shared" si="8"/>
        <v>899.99999999999682</v>
      </c>
      <c r="M291" s="21">
        <f t="shared" si="9"/>
        <v>20803270.499999925</v>
      </c>
    </row>
    <row r="292" spans="1:13">
      <c r="A292" s="18" t="s">
        <v>250</v>
      </c>
      <c r="B292" s="22">
        <v>2105500</v>
      </c>
      <c r="C292" s="1">
        <v>43924</v>
      </c>
      <c r="D292" s="19">
        <v>0.69791666666666663</v>
      </c>
      <c r="E292" s="22" t="s">
        <v>251</v>
      </c>
      <c r="F292" s="22">
        <v>3050</v>
      </c>
      <c r="G292" s="22" t="s">
        <v>252</v>
      </c>
      <c r="H292" s="22">
        <v>2.71</v>
      </c>
      <c r="I292" s="22" t="s">
        <v>252</v>
      </c>
      <c r="J292" s="22">
        <v>0</v>
      </c>
      <c r="K292" s="22" t="s">
        <v>253</v>
      </c>
      <c r="L292" s="5">
        <f t="shared" si="8"/>
        <v>900.00000000000637</v>
      </c>
      <c r="M292" s="21">
        <f t="shared" si="9"/>
        <v>20533972.500000145</v>
      </c>
    </row>
    <row r="293" spans="1:13">
      <c r="A293" s="18" t="s">
        <v>250</v>
      </c>
      <c r="B293" s="22">
        <v>2105500</v>
      </c>
      <c r="C293" s="1">
        <v>43924</v>
      </c>
      <c r="D293" s="19">
        <v>0.70833333333333337</v>
      </c>
      <c r="E293" s="22" t="s">
        <v>251</v>
      </c>
      <c r="F293" s="22">
        <v>3070</v>
      </c>
      <c r="G293" s="22" t="s">
        <v>252</v>
      </c>
      <c r="H293" s="22">
        <v>2.72</v>
      </c>
      <c r="I293" s="22" t="s">
        <v>252</v>
      </c>
      <c r="J293" s="22">
        <v>0</v>
      </c>
      <c r="K293" s="22" t="s">
        <v>253</v>
      </c>
      <c r="L293" s="5">
        <f t="shared" si="8"/>
        <v>899.99999999999682</v>
      </c>
      <c r="M293" s="21">
        <f t="shared" si="9"/>
        <v>20668621.499999925</v>
      </c>
    </row>
    <row r="294" spans="1:13">
      <c r="A294" s="18" t="s">
        <v>250</v>
      </c>
      <c r="B294" s="22">
        <v>2105500</v>
      </c>
      <c r="C294" s="1">
        <v>43924</v>
      </c>
      <c r="D294" s="19">
        <v>0.71875</v>
      </c>
      <c r="E294" s="22" t="s">
        <v>251</v>
      </c>
      <c r="F294" s="22">
        <v>3070</v>
      </c>
      <c r="G294" s="22" t="s">
        <v>252</v>
      </c>
      <c r="H294" s="22">
        <v>2.72</v>
      </c>
      <c r="I294" s="22" t="s">
        <v>252</v>
      </c>
      <c r="J294" s="22">
        <v>0</v>
      </c>
      <c r="K294" s="22" t="s">
        <v>253</v>
      </c>
      <c r="L294" s="5">
        <f t="shared" si="8"/>
        <v>899.99999999999682</v>
      </c>
      <c r="M294" s="21">
        <f t="shared" si="9"/>
        <v>20668621.499999925</v>
      </c>
    </row>
    <row r="295" spans="1:13">
      <c r="A295" s="18" t="s">
        <v>250</v>
      </c>
      <c r="B295" s="22">
        <v>2105500</v>
      </c>
      <c r="C295" s="1">
        <v>43924</v>
      </c>
      <c r="D295" s="19">
        <v>0.72916666666666663</v>
      </c>
      <c r="E295" s="22" t="s">
        <v>251</v>
      </c>
      <c r="F295" s="22">
        <v>3050</v>
      </c>
      <c r="G295" s="22" t="s">
        <v>252</v>
      </c>
      <c r="H295" s="22">
        <v>2.71</v>
      </c>
      <c r="I295" s="22" t="s">
        <v>252</v>
      </c>
      <c r="J295" s="22">
        <v>0</v>
      </c>
      <c r="K295" s="22" t="s">
        <v>253</v>
      </c>
      <c r="L295" s="5">
        <f t="shared" si="8"/>
        <v>900.00000000000637</v>
      </c>
      <c r="M295" s="21">
        <f t="shared" si="9"/>
        <v>20533972.500000145</v>
      </c>
    </row>
    <row r="296" spans="1:13">
      <c r="A296" s="18" t="s">
        <v>250</v>
      </c>
      <c r="B296" s="22">
        <v>2105500</v>
      </c>
      <c r="C296" s="1">
        <v>43924</v>
      </c>
      <c r="D296" s="19">
        <v>0.73958333333333337</v>
      </c>
      <c r="E296" s="22" t="s">
        <v>251</v>
      </c>
      <c r="F296" s="22">
        <v>3020</v>
      </c>
      <c r="G296" s="22" t="s">
        <v>252</v>
      </c>
      <c r="H296" s="22">
        <v>2.69</v>
      </c>
      <c r="I296" s="22" t="s">
        <v>252</v>
      </c>
      <c r="J296" s="22">
        <v>0</v>
      </c>
      <c r="K296" s="22" t="s">
        <v>253</v>
      </c>
      <c r="L296" s="5">
        <f t="shared" si="8"/>
        <v>899.99999999999682</v>
      </c>
      <c r="M296" s="21">
        <f t="shared" si="9"/>
        <v>20331998.999999925</v>
      </c>
    </row>
    <row r="297" spans="1:13">
      <c r="A297" s="18" t="s">
        <v>250</v>
      </c>
      <c r="B297" s="22">
        <v>2105500</v>
      </c>
      <c r="C297" s="1">
        <v>43924</v>
      </c>
      <c r="D297" s="19">
        <v>0.75</v>
      </c>
      <c r="E297" s="22" t="s">
        <v>251</v>
      </c>
      <c r="F297" s="22">
        <v>3020</v>
      </c>
      <c r="G297" s="22" t="s">
        <v>252</v>
      </c>
      <c r="H297" s="22">
        <v>2.69</v>
      </c>
      <c r="I297" s="22" t="s">
        <v>252</v>
      </c>
      <c r="J297" s="22">
        <v>0</v>
      </c>
      <c r="K297" s="22" t="s">
        <v>253</v>
      </c>
      <c r="L297" s="5">
        <f t="shared" si="8"/>
        <v>899.99999999999682</v>
      </c>
      <c r="M297" s="21">
        <f t="shared" si="9"/>
        <v>20331998.999999925</v>
      </c>
    </row>
    <row r="298" spans="1:13">
      <c r="A298" s="18" t="s">
        <v>250</v>
      </c>
      <c r="B298" s="22">
        <v>2105500</v>
      </c>
      <c r="C298" s="1">
        <v>43924</v>
      </c>
      <c r="D298" s="19">
        <v>0.76041666666666663</v>
      </c>
      <c r="E298" s="22" t="s">
        <v>251</v>
      </c>
      <c r="F298" s="22">
        <v>3020</v>
      </c>
      <c r="G298" s="22" t="s">
        <v>252</v>
      </c>
      <c r="H298" s="22">
        <v>2.69</v>
      </c>
      <c r="I298" s="22" t="s">
        <v>252</v>
      </c>
      <c r="J298" s="22">
        <v>0</v>
      </c>
      <c r="K298" s="22" t="s">
        <v>253</v>
      </c>
      <c r="L298" s="5">
        <f t="shared" si="8"/>
        <v>900.00000000000637</v>
      </c>
      <c r="M298" s="21">
        <f t="shared" si="9"/>
        <v>20331999.000000142</v>
      </c>
    </row>
    <row r="299" spans="1:13">
      <c r="A299" s="18" t="s">
        <v>250</v>
      </c>
      <c r="B299" s="22">
        <v>2105500</v>
      </c>
      <c r="C299" s="1">
        <v>43924</v>
      </c>
      <c r="D299" s="19">
        <v>0.77083333333333337</v>
      </c>
      <c r="E299" s="22" t="s">
        <v>251</v>
      </c>
      <c r="F299" s="22">
        <v>3020</v>
      </c>
      <c r="G299" s="22" t="s">
        <v>252</v>
      </c>
      <c r="H299" s="22">
        <v>2.69</v>
      </c>
      <c r="I299" s="22" t="s">
        <v>252</v>
      </c>
      <c r="J299" s="22">
        <v>0</v>
      </c>
      <c r="K299" s="22" t="s">
        <v>253</v>
      </c>
      <c r="L299" s="5">
        <f t="shared" si="8"/>
        <v>899.99999999999682</v>
      </c>
      <c r="M299" s="21">
        <f t="shared" si="9"/>
        <v>20331998.999999925</v>
      </c>
    </row>
    <row r="300" spans="1:13">
      <c r="A300" s="18" t="s">
        <v>250</v>
      </c>
      <c r="B300" s="22">
        <v>2105500</v>
      </c>
      <c r="C300" s="1">
        <v>43924</v>
      </c>
      <c r="D300" s="19">
        <v>0.78125</v>
      </c>
      <c r="E300" s="22" t="s">
        <v>251</v>
      </c>
      <c r="F300" s="22">
        <v>3000</v>
      </c>
      <c r="G300" s="22" t="s">
        <v>252</v>
      </c>
      <c r="H300" s="22">
        <v>2.68</v>
      </c>
      <c r="I300" s="22" t="s">
        <v>252</v>
      </c>
      <c r="J300" s="22">
        <v>0</v>
      </c>
      <c r="K300" s="22" t="s">
        <v>253</v>
      </c>
      <c r="L300" s="5">
        <f t="shared" si="8"/>
        <v>899.99999999999682</v>
      </c>
      <c r="M300" s="21">
        <f t="shared" si="9"/>
        <v>20197349.999999925</v>
      </c>
    </row>
    <row r="301" spans="1:13">
      <c r="A301" s="18" t="s">
        <v>250</v>
      </c>
      <c r="B301" s="22">
        <v>2105500</v>
      </c>
      <c r="C301" s="1">
        <v>43924</v>
      </c>
      <c r="D301" s="19">
        <v>0.79166666666666663</v>
      </c>
      <c r="E301" s="22" t="s">
        <v>251</v>
      </c>
      <c r="F301" s="22">
        <v>2980</v>
      </c>
      <c r="G301" s="22" t="s">
        <v>252</v>
      </c>
      <c r="H301" s="22">
        <v>2.67</v>
      </c>
      <c r="I301" s="22" t="s">
        <v>252</v>
      </c>
      <c r="J301" s="22">
        <v>0</v>
      </c>
      <c r="K301" s="22" t="s">
        <v>253</v>
      </c>
      <c r="L301" s="5">
        <f t="shared" si="8"/>
        <v>900.00000000000637</v>
      </c>
      <c r="M301" s="21">
        <f t="shared" si="9"/>
        <v>20062701.000000142</v>
      </c>
    </row>
    <row r="302" spans="1:13">
      <c r="A302" s="18" t="s">
        <v>250</v>
      </c>
      <c r="B302" s="22">
        <v>2105500</v>
      </c>
      <c r="C302" s="1">
        <v>43924</v>
      </c>
      <c r="D302" s="19">
        <v>0.80208333333333337</v>
      </c>
      <c r="E302" s="22" t="s">
        <v>251</v>
      </c>
      <c r="F302" s="22">
        <v>2980</v>
      </c>
      <c r="G302" s="22" t="s">
        <v>252</v>
      </c>
      <c r="H302" s="22">
        <v>2.67</v>
      </c>
      <c r="I302" s="22" t="s">
        <v>252</v>
      </c>
      <c r="J302" s="22">
        <v>0</v>
      </c>
      <c r="K302" s="22" t="s">
        <v>253</v>
      </c>
      <c r="L302" s="5">
        <f t="shared" si="8"/>
        <v>899.99999999999682</v>
      </c>
      <c r="M302" s="21">
        <f t="shared" si="9"/>
        <v>20062700.999999929</v>
      </c>
    </row>
    <row r="303" spans="1:13">
      <c r="A303" s="18" t="s">
        <v>250</v>
      </c>
      <c r="B303" s="22">
        <v>2105500</v>
      </c>
      <c r="C303" s="1">
        <v>43924</v>
      </c>
      <c r="D303" s="19">
        <v>0.8125</v>
      </c>
      <c r="E303" s="22" t="s">
        <v>251</v>
      </c>
      <c r="F303" s="22">
        <v>2960</v>
      </c>
      <c r="G303" s="22" t="s">
        <v>252</v>
      </c>
      <c r="H303" s="22">
        <v>2.66</v>
      </c>
      <c r="I303" s="22" t="s">
        <v>252</v>
      </c>
      <c r="J303" s="22">
        <v>0</v>
      </c>
      <c r="K303" s="22" t="s">
        <v>253</v>
      </c>
      <c r="L303" s="5">
        <f t="shared" si="8"/>
        <v>899.99999999999682</v>
      </c>
      <c r="M303" s="21">
        <f t="shared" si="9"/>
        <v>19928051.999999929</v>
      </c>
    </row>
    <row r="304" spans="1:13">
      <c r="A304" s="18" t="s">
        <v>250</v>
      </c>
      <c r="B304" s="22">
        <v>2105500</v>
      </c>
      <c r="C304" s="1">
        <v>43924</v>
      </c>
      <c r="D304" s="19">
        <v>0.82291666666666663</v>
      </c>
      <c r="E304" s="22" t="s">
        <v>251</v>
      </c>
      <c r="F304" s="22">
        <v>2960</v>
      </c>
      <c r="G304" s="22" t="s">
        <v>252</v>
      </c>
      <c r="H304" s="22">
        <v>2.66</v>
      </c>
      <c r="I304" s="22" t="s">
        <v>252</v>
      </c>
      <c r="J304" s="22">
        <v>0</v>
      </c>
      <c r="K304" s="22" t="s">
        <v>253</v>
      </c>
      <c r="L304" s="5">
        <f t="shared" si="8"/>
        <v>900.00000000000637</v>
      </c>
      <c r="M304" s="21">
        <f t="shared" si="9"/>
        <v>19928052.000000142</v>
      </c>
    </row>
    <row r="305" spans="1:13">
      <c r="A305" s="18" t="s">
        <v>250</v>
      </c>
      <c r="B305" s="22">
        <v>2105500</v>
      </c>
      <c r="C305" s="1">
        <v>43924</v>
      </c>
      <c r="D305" s="19">
        <v>0.83333333333333337</v>
      </c>
      <c r="E305" s="22" t="s">
        <v>251</v>
      </c>
      <c r="F305" s="22">
        <v>2940</v>
      </c>
      <c r="G305" s="22" t="s">
        <v>252</v>
      </c>
      <c r="H305" s="22">
        <v>2.65</v>
      </c>
      <c r="I305" s="22" t="s">
        <v>252</v>
      </c>
      <c r="J305" s="22">
        <v>0</v>
      </c>
      <c r="K305" s="22" t="s">
        <v>253</v>
      </c>
      <c r="L305" s="5">
        <f t="shared" si="8"/>
        <v>899.99999999999682</v>
      </c>
      <c r="M305" s="21">
        <f t="shared" si="9"/>
        <v>19793402.999999929</v>
      </c>
    </row>
    <row r="306" spans="1:13">
      <c r="A306" s="18" t="s">
        <v>250</v>
      </c>
      <c r="B306" s="22">
        <v>2105500</v>
      </c>
      <c r="C306" s="1">
        <v>43924</v>
      </c>
      <c r="D306" s="19">
        <v>0.84375</v>
      </c>
      <c r="E306" s="22" t="s">
        <v>251</v>
      </c>
      <c r="F306" s="22">
        <v>2940</v>
      </c>
      <c r="G306" s="22" t="s">
        <v>252</v>
      </c>
      <c r="H306" s="22">
        <v>2.65</v>
      </c>
      <c r="I306" s="22" t="s">
        <v>252</v>
      </c>
      <c r="J306" s="22">
        <v>0</v>
      </c>
      <c r="K306" s="22" t="s">
        <v>253</v>
      </c>
      <c r="L306" s="5">
        <f t="shared" si="8"/>
        <v>899.99999999999682</v>
      </c>
      <c r="M306" s="21">
        <f t="shared" si="9"/>
        <v>19793402.999999929</v>
      </c>
    </row>
    <row r="307" spans="1:13">
      <c r="A307" s="18" t="s">
        <v>250</v>
      </c>
      <c r="B307" s="22">
        <v>2105500</v>
      </c>
      <c r="C307" s="1">
        <v>43924</v>
      </c>
      <c r="D307" s="19">
        <v>0.85416666666666663</v>
      </c>
      <c r="E307" s="22" t="s">
        <v>251</v>
      </c>
      <c r="F307" s="22">
        <v>2940</v>
      </c>
      <c r="G307" s="22" t="s">
        <v>252</v>
      </c>
      <c r="H307" s="22">
        <v>2.65</v>
      </c>
      <c r="I307" s="22" t="s">
        <v>252</v>
      </c>
      <c r="J307" s="22">
        <v>0</v>
      </c>
      <c r="K307" s="22" t="s">
        <v>253</v>
      </c>
      <c r="L307" s="5">
        <f t="shared" si="8"/>
        <v>900.00000000000637</v>
      </c>
      <c r="M307" s="21">
        <f t="shared" si="9"/>
        <v>19793403.000000142</v>
      </c>
    </row>
    <row r="308" spans="1:13">
      <c r="A308" s="18" t="s">
        <v>250</v>
      </c>
      <c r="B308" s="22">
        <v>2105500</v>
      </c>
      <c r="C308" s="1">
        <v>43924</v>
      </c>
      <c r="D308" s="19">
        <v>0.86458333333333337</v>
      </c>
      <c r="E308" s="22" t="s">
        <v>251</v>
      </c>
      <c r="F308" s="22">
        <v>2920</v>
      </c>
      <c r="G308" s="22" t="s">
        <v>252</v>
      </c>
      <c r="H308" s="22">
        <v>2.64</v>
      </c>
      <c r="I308" s="22" t="s">
        <v>252</v>
      </c>
      <c r="J308" s="22">
        <v>0</v>
      </c>
      <c r="K308" s="22" t="s">
        <v>253</v>
      </c>
      <c r="L308" s="5">
        <f t="shared" si="8"/>
        <v>899.99999999999682</v>
      </c>
      <c r="M308" s="21">
        <f t="shared" si="9"/>
        <v>19658753.999999929</v>
      </c>
    </row>
    <row r="309" spans="1:13">
      <c r="A309" s="18" t="s">
        <v>250</v>
      </c>
      <c r="B309" s="22">
        <v>2105500</v>
      </c>
      <c r="C309" s="1">
        <v>43924</v>
      </c>
      <c r="D309" s="19">
        <v>0.875</v>
      </c>
      <c r="E309" s="22" t="s">
        <v>251</v>
      </c>
      <c r="F309" s="22">
        <v>2920</v>
      </c>
      <c r="G309" s="22" t="s">
        <v>252</v>
      </c>
      <c r="H309" s="22">
        <v>2.64</v>
      </c>
      <c r="I309" s="22" t="s">
        <v>252</v>
      </c>
      <c r="J309" s="22">
        <v>0</v>
      </c>
      <c r="K309" s="22" t="s">
        <v>253</v>
      </c>
      <c r="L309" s="5">
        <f t="shared" si="8"/>
        <v>899.99999999999682</v>
      </c>
      <c r="M309" s="21">
        <f t="shared" si="9"/>
        <v>19658753.999999929</v>
      </c>
    </row>
    <row r="310" spans="1:13">
      <c r="A310" s="18" t="s">
        <v>250</v>
      </c>
      <c r="B310" s="22">
        <v>2105500</v>
      </c>
      <c r="C310" s="1">
        <v>43924</v>
      </c>
      <c r="D310" s="19">
        <v>0.88541666666666663</v>
      </c>
      <c r="E310" s="22" t="s">
        <v>251</v>
      </c>
      <c r="F310" s="22">
        <v>2920</v>
      </c>
      <c r="G310" s="22" t="s">
        <v>252</v>
      </c>
      <c r="H310" s="22">
        <v>2.64</v>
      </c>
      <c r="I310" s="22" t="s">
        <v>252</v>
      </c>
      <c r="J310" s="22">
        <v>0</v>
      </c>
      <c r="K310" s="22" t="s">
        <v>253</v>
      </c>
      <c r="L310" s="5">
        <f t="shared" si="8"/>
        <v>900.00000000000637</v>
      </c>
      <c r="M310" s="21">
        <f t="shared" si="9"/>
        <v>19658754.000000142</v>
      </c>
    </row>
    <row r="311" spans="1:13">
      <c r="A311" s="18" t="s">
        <v>250</v>
      </c>
      <c r="B311" s="22">
        <v>2105500</v>
      </c>
      <c r="C311" s="1">
        <v>43924</v>
      </c>
      <c r="D311" s="19">
        <v>0.89583333333333337</v>
      </c>
      <c r="E311" s="22" t="s">
        <v>251</v>
      </c>
      <c r="F311" s="22">
        <v>2920</v>
      </c>
      <c r="G311" s="22" t="s">
        <v>252</v>
      </c>
      <c r="H311" s="22">
        <v>2.64</v>
      </c>
      <c r="I311" s="22" t="s">
        <v>252</v>
      </c>
      <c r="J311" s="22">
        <v>0</v>
      </c>
      <c r="K311" s="22" t="s">
        <v>253</v>
      </c>
      <c r="L311" s="5">
        <f t="shared" si="8"/>
        <v>899.99999999999682</v>
      </c>
      <c r="M311" s="21">
        <f t="shared" si="9"/>
        <v>19658753.999999929</v>
      </c>
    </row>
    <row r="312" spans="1:13">
      <c r="A312" s="18" t="s">
        <v>250</v>
      </c>
      <c r="B312" s="22">
        <v>2105500</v>
      </c>
      <c r="C312" s="1">
        <v>43924</v>
      </c>
      <c r="D312" s="19">
        <v>0.90625</v>
      </c>
      <c r="E312" s="22" t="s">
        <v>251</v>
      </c>
      <c r="F312" s="22">
        <v>2900</v>
      </c>
      <c r="G312" s="22" t="s">
        <v>252</v>
      </c>
      <c r="H312" s="22">
        <v>2.63</v>
      </c>
      <c r="I312" s="22" t="s">
        <v>252</v>
      </c>
      <c r="J312" s="22">
        <v>0</v>
      </c>
      <c r="K312" s="22" t="s">
        <v>253</v>
      </c>
      <c r="L312" s="5">
        <f t="shared" si="8"/>
        <v>899.99999999999682</v>
      </c>
      <c r="M312" s="21">
        <f t="shared" si="9"/>
        <v>19524104.999999929</v>
      </c>
    </row>
    <row r="313" spans="1:13">
      <c r="A313" s="18" t="s">
        <v>250</v>
      </c>
      <c r="B313" s="22">
        <v>2105500</v>
      </c>
      <c r="C313" s="1">
        <v>43924</v>
      </c>
      <c r="D313" s="19">
        <v>0.91666666666666663</v>
      </c>
      <c r="E313" s="22" t="s">
        <v>251</v>
      </c>
      <c r="F313" s="22">
        <v>2900</v>
      </c>
      <c r="G313" s="22" t="s">
        <v>252</v>
      </c>
      <c r="H313" s="22">
        <v>2.63</v>
      </c>
      <c r="I313" s="22" t="s">
        <v>252</v>
      </c>
      <c r="J313" s="22">
        <v>0</v>
      </c>
      <c r="K313" s="22" t="s">
        <v>253</v>
      </c>
      <c r="L313" s="5">
        <f t="shared" si="8"/>
        <v>900.00000000000637</v>
      </c>
      <c r="M313" s="21">
        <f t="shared" si="9"/>
        <v>19524105.000000142</v>
      </c>
    </row>
    <row r="314" spans="1:13">
      <c r="A314" s="18" t="s">
        <v>250</v>
      </c>
      <c r="B314" s="22">
        <v>2105500</v>
      </c>
      <c r="C314" s="1">
        <v>43924</v>
      </c>
      <c r="D314" s="19">
        <v>0.92708333333333337</v>
      </c>
      <c r="E314" s="22" t="s">
        <v>251</v>
      </c>
      <c r="F314" s="22">
        <v>2900</v>
      </c>
      <c r="G314" s="22" t="s">
        <v>252</v>
      </c>
      <c r="H314" s="22">
        <v>2.63</v>
      </c>
      <c r="I314" s="22" t="s">
        <v>252</v>
      </c>
      <c r="J314" s="22">
        <v>0</v>
      </c>
      <c r="K314" s="22" t="s">
        <v>253</v>
      </c>
      <c r="L314" s="5">
        <f t="shared" si="8"/>
        <v>899.99999999999682</v>
      </c>
      <c r="M314" s="21">
        <f t="shared" si="9"/>
        <v>19524104.999999929</v>
      </c>
    </row>
    <row r="315" spans="1:13">
      <c r="A315" s="18" t="s">
        <v>250</v>
      </c>
      <c r="B315" s="22">
        <v>2105500</v>
      </c>
      <c r="C315" s="1">
        <v>43924</v>
      </c>
      <c r="D315" s="19">
        <v>0.9375</v>
      </c>
      <c r="E315" s="22" t="s">
        <v>251</v>
      </c>
      <c r="F315" s="22">
        <v>2900</v>
      </c>
      <c r="G315" s="22" t="s">
        <v>252</v>
      </c>
      <c r="H315" s="22">
        <v>2.63</v>
      </c>
      <c r="I315" s="22" t="s">
        <v>252</v>
      </c>
      <c r="J315" s="22">
        <v>0</v>
      </c>
      <c r="K315" s="22" t="s">
        <v>253</v>
      </c>
      <c r="L315" s="5">
        <f t="shared" si="8"/>
        <v>899.99999999999682</v>
      </c>
      <c r="M315" s="21">
        <f t="shared" si="9"/>
        <v>19524104.999999929</v>
      </c>
    </row>
    <row r="316" spans="1:13">
      <c r="A316" s="18" t="s">
        <v>250</v>
      </c>
      <c r="B316" s="22">
        <v>2105500</v>
      </c>
      <c r="C316" s="1">
        <v>43924</v>
      </c>
      <c r="D316" s="19">
        <v>0.94791666666666663</v>
      </c>
      <c r="E316" s="22" t="s">
        <v>251</v>
      </c>
      <c r="F316" s="22">
        <v>2890</v>
      </c>
      <c r="G316" s="22" t="s">
        <v>252</v>
      </c>
      <c r="H316" s="22">
        <v>2.62</v>
      </c>
      <c r="I316" s="22" t="s">
        <v>252</v>
      </c>
      <c r="J316" s="22">
        <v>0</v>
      </c>
      <c r="K316" s="22" t="s">
        <v>253</v>
      </c>
      <c r="L316" s="5">
        <f t="shared" si="8"/>
        <v>900.00000000000637</v>
      </c>
      <c r="M316" s="21">
        <f t="shared" si="9"/>
        <v>19456780.500000142</v>
      </c>
    </row>
    <row r="317" spans="1:13">
      <c r="A317" s="18" t="s">
        <v>250</v>
      </c>
      <c r="B317" s="22">
        <v>2105500</v>
      </c>
      <c r="C317" s="1">
        <v>43924</v>
      </c>
      <c r="D317" s="19">
        <v>0.95833333333333337</v>
      </c>
      <c r="E317" s="22" t="s">
        <v>251</v>
      </c>
      <c r="F317" s="22">
        <v>2890</v>
      </c>
      <c r="G317" s="22" t="s">
        <v>252</v>
      </c>
      <c r="H317" s="22">
        <v>2.62</v>
      </c>
      <c r="I317" s="22" t="s">
        <v>252</v>
      </c>
      <c r="J317" s="22">
        <v>0</v>
      </c>
      <c r="K317" s="22" t="s">
        <v>253</v>
      </c>
      <c r="L317" s="5">
        <f t="shared" si="8"/>
        <v>899.99999999999682</v>
      </c>
      <c r="M317" s="21">
        <f t="shared" si="9"/>
        <v>19456780.499999929</v>
      </c>
    </row>
    <row r="318" spans="1:13">
      <c r="A318" s="18" t="s">
        <v>250</v>
      </c>
      <c r="B318" s="22">
        <v>2105500</v>
      </c>
      <c r="C318" s="1">
        <v>43924</v>
      </c>
      <c r="D318" s="19">
        <v>0.96875</v>
      </c>
      <c r="E318" s="22" t="s">
        <v>251</v>
      </c>
      <c r="F318" s="22">
        <v>2870</v>
      </c>
      <c r="G318" s="22" t="s">
        <v>252</v>
      </c>
      <c r="H318" s="22">
        <v>2.61</v>
      </c>
      <c r="I318" s="22" t="s">
        <v>252</v>
      </c>
      <c r="J318" s="22">
        <v>0</v>
      </c>
      <c r="K318" s="22" t="s">
        <v>253</v>
      </c>
      <c r="L318" s="5">
        <f t="shared" si="8"/>
        <v>899.99999999999682</v>
      </c>
      <c r="M318" s="21">
        <f t="shared" si="9"/>
        <v>19322131.499999929</v>
      </c>
    </row>
    <row r="319" spans="1:13">
      <c r="A319" s="18" t="s">
        <v>250</v>
      </c>
      <c r="B319" s="22">
        <v>2105500</v>
      </c>
      <c r="C319" s="1">
        <v>43924</v>
      </c>
      <c r="D319" s="19">
        <v>0.97916666666666663</v>
      </c>
      <c r="E319" s="22" t="s">
        <v>251</v>
      </c>
      <c r="F319" s="22">
        <v>2850</v>
      </c>
      <c r="G319" s="22" t="s">
        <v>252</v>
      </c>
      <c r="H319" s="22">
        <v>2.6</v>
      </c>
      <c r="I319" s="22" t="s">
        <v>252</v>
      </c>
      <c r="J319" s="22">
        <v>0</v>
      </c>
      <c r="K319" s="22" t="s">
        <v>253</v>
      </c>
      <c r="L319" s="5">
        <f t="shared" si="8"/>
        <v>900.00000000000637</v>
      </c>
      <c r="M319" s="21">
        <f t="shared" si="9"/>
        <v>19187482.500000138</v>
      </c>
    </row>
    <row r="320" spans="1:13">
      <c r="A320" s="18" t="s">
        <v>250</v>
      </c>
      <c r="B320" s="22">
        <v>2105500</v>
      </c>
      <c r="C320" s="1">
        <v>43924</v>
      </c>
      <c r="D320" s="19">
        <v>0.98958333333333337</v>
      </c>
      <c r="E320" s="22" t="s">
        <v>251</v>
      </c>
      <c r="F320" s="22">
        <v>2850</v>
      </c>
      <c r="G320" s="22" t="s">
        <v>252</v>
      </c>
      <c r="H320" s="22">
        <v>2.6</v>
      </c>
      <c r="I320" s="22" t="s">
        <v>252</v>
      </c>
      <c r="J320" s="22">
        <v>0</v>
      </c>
      <c r="K320" s="22" t="s">
        <v>253</v>
      </c>
      <c r="L320" s="5">
        <v>900</v>
      </c>
      <c r="M320" s="21">
        <f t="shared" si="9"/>
        <v>19187482.5</v>
      </c>
    </row>
    <row r="321" spans="1:13">
      <c r="A321" s="18" t="s">
        <v>250</v>
      </c>
      <c r="B321" s="22">
        <v>2105500</v>
      </c>
      <c r="C321" s="1">
        <v>43925</v>
      </c>
      <c r="D321" s="19">
        <v>0</v>
      </c>
      <c r="E321" s="22" t="s">
        <v>251</v>
      </c>
      <c r="F321" s="22">
        <v>2850</v>
      </c>
      <c r="G321" s="22" t="s">
        <v>252</v>
      </c>
      <c r="H321" s="22">
        <v>2.6</v>
      </c>
      <c r="I321" s="22" t="s">
        <v>252</v>
      </c>
      <c r="J321" s="22">
        <v>0</v>
      </c>
      <c r="K321" s="22" t="s">
        <v>253</v>
      </c>
      <c r="L321" s="5">
        <f t="shared" si="8"/>
        <v>900</v>
      </c>
      <c r="M321" s="21">
        <f t="shared" si="9"/>
        <v>19187482.5</v>
      </c>
    </row>
    <row r="322" spans="1:13">
      <c r="A322" s="18" t="s">
        <v>250</v>
      </c>
      <c r="B322" s="22">
        <v>2105500</v>
      </c>
      <c r="C322" s="1">
        <v>43925</v>
      </c>
      <c r="D322" s="19">
        <v>1.0416666666666666E-2</v>
      </c>
      <c r="E322" s="22" t="s">
        <v>251</v>
      </c>
      <c r="F322" s="22">
        <v>2850</v>
      </c>
      <c r="G322" s="22" t="s">
        <v>252</v>
      </c>
      <c r="H322" s="22">
        <v>2.6</v>
      </c>
      <c r="I322" s="22" t="s">
        <v>252</v>
      </c>
      <c r="J322" s="22">
        <v>0</v>
      </c>
      <c r="K322" s="22" t="s">
        <v>253</v>
      </c>
      <c r="L322" s="5">
        <f t="shared" si="8"/>
        <v>900</v>
      </c>
      <c r="M322" s="21">
        <f t="shared" si="9"/>
        <v>19187482.5</v>
      </c>
    </row>
    <row r="323" spans="1:13">
      <c r="A323" s="18" t="s">
        <v>250</v>
      </c>
      <c r="B323" s="22">
        <v>2105500</v>
      </c>
      <c r="C323" s="1">
        <v>43925</v>
      </c>
      <c r="D323" s="19">
        <v>2.0833333333333332E-2</v>
      </c>
      <c r="E323" s="22" t="s">
        <v>251</v>
      </c>
      <c r="F323" s="22">
        <v>2850</v>
      </c>
      <c r="G323" s="22" t="s">
        <v>252</v>
      </c>
      <c r="H323" s="22">
        <v>2.6</v>
      </c>
      <c r="I323" s="22" t="s">
        <v>252</v>
      </c>
      <c r="J323" s="22">
        <v>0</v>
      </c>
      <c r="K323" s="22" t="s">
        <v>253</v>
      </c>
      <c r="L323" s="5">
        <f t="shared" si="8"/>
        <v>900.00000000000011</v>
      </c>
      <c r="M323" s="21">
        <f t="shared" si="9"/>
        <v>19187482.500000004</v>
      </c>
    </row>
    <row r="324" spans="1:13">
      <c r="A324" s="18" t="s">
        <v>250</v>
      </c>
      <c r="B324" s="22">
        <v>2105500</v>
      </c>
      <c r="C324" s="1">
        <v>43925</v>
      </c>
      <c r="D324" s="19">
        <v>3.125E-2</v>
      </c>
      <c r="E324" s="22" t="s">
        <v>251</v>
      </c>
      <c r="F324" s="22">
        <v>2850</v>
      </c>
      <c r="G324" s="22" t="s">
        <v>252</v>
      </c>
      <c r="H324" s="22">
        <v>2.6</v>
      </c>
      <c r="I324" s="22" t="s">
        <v>252</v>
      </c>
      <c r="J324" s="22">
        <v>0</v>
      </c>
      <c r="K324" s="22" t="s">
        <v>253</v>
      </c>
      <c r="L324" s="5">
        <f t="shared" si="8"/>
        <v>899.99999999999977</v>
      </c>
      <c r="M324" s="21">
        <f t="shared" si="9"/>
        <v>19187482.499999996</v>
      </c>
    </row>
    <row r="325" spans="1:13">
      <c r="A325" s="18" t="s">
        <v>250</v>
      </c>
      <c r="B325" s="22">
        <v>2105500</v>
      </c>
      <c r="C325" s="1">
        <v>43925</v>
      </c>
      <c r="D325" s="19">
        <v>4.1666666666666664E-2</v>
      </c>
      <c r="E325" s="22" t="s">
        <v>251</v>
      </c>
      <c r="F325" s="22">
        <v>2830</v>
      </c>
      <c r="G325" s="22" t="s">
        <v>252</v>
      </c>
      <c r="H325" s="22">
        <v>2.59</v>
      </c>
      <c r="I325" s="22" t="s">
        <v>252</v>
      </c>
      <c r="J325" s="22">
        <v>0</v>
      </c>
      <c r="K325" s="22" t="s">
        <v>253</v>
      </c>
      <c r="L325" s="5">
        <f t="shared" si="8"/>
        <v>900.00000000000045</v>
      </c>
      <c r="M325" s="21">
        <f t="shared" si="9"/>
        <v>19052833.500000011</v>
      </c>
    </row>
    <row r="326" spans="1:13">
      <c r="A326" s="18" t="s">
        <v>250</v>
      </c>
      <c r="B326" s="22">
        <v>2105500</v>
      </c>
      <c r="C326" s="1">
        <v>43925</v>
      </c>
      <c r="D326" s="19">
        <v>5.2083333333333336E-2</v>
      </c>
      <c r="E326" s="22" t="s">
        <v>251</v>
      </c>
      <c r="F326" s="22">
        <v>2830</v>
      </c>
      <c r="G326" s="22" t="s">
        <v>252</v>
      </c>
      <c r="H326" s="22">
        <v>2.59</v>
      </c>
      <c r="I326" s="22" t="s">
        <v>252</v>
      </c>
      <c r="J326" s="22">
        <v>0</v>
      </c>
      <c r="K326" s="22" t="s">
        <v>253</v>
      </c>
      <c r="L326" s="5">
        <f t="shared" si="8"/>
        <v>899.99999999999977</v>
      </c>
      <c r="M326" s="21">
        <f t="shared" si="9"/>
        <v>19052833.499999996</v>
      </c>
    </row>
    <row r="327" spans="1:13">
      <c r="A327" s="18" t="s">
        <v>250</v>
      </c>
      <c r="B327" s="22">
        <v>2105500</v>
      </c>
      <c r="C327" s="1">
        <v>43925</v>
      </c>
      <c r="D327" s="19">
        <v>6.25E-2</v>
      </c>
      <c r="E327" s="22" t="s">
        <v>251</v>
      </c>
      <c r="F327" s="22">
        <v>2830</v>
      </c>
      <c r="G327" s="22" t="s">
        <v>252</v>
      </c>
      <c r="H327" s="22">
        <v>2.59</v>
      </c>
      <c r="I327" s="22" t="s">
        <v>252</v>
      </c>
      <c r="J327" s="22">
        <v>0</v>
      </c>
      <c r="K327" s="22" t="s">
        <v>253</v>
      </c>
      <c r="L327" s="5">
        <f t="shared" si="8"/>
        <v>900.00000000000045</v>
      </c>
      <c r="M327" s="21">
        <f t="shared" si="9"/>
        <v>19052833.500000011</v>
      </c>
    </row>
    <row r="328" spans="1:13">
      <c r="A328" s="18" t="s">
        <v>250</v>
      </c>
      <c r="B328" s="22">
        <v>2105500</v>
      </c>
      <c r="C328" s="1">
        <v>43925</v>
      </c>
      <c r="D328" s="19">
        <v>7.2916666666666671E-2</v>
      </c>
      <c r="E328" s="22" t="s">
        <v>251</v>
      </c>
      <c r="F328" s="22">
        <v>2830</v>
      </c>
      <c r="G328" s="22" t="s">
        <v>252</v>
      </c>
      <c r="H328" s="22">
        <v>2.59</v>
      </c>
      <c r="I328" s="22" t="s">
        <v>252</v>
      </c>
      <c r="J328" s="22">
        <v>0</v>
      </c>
      <c r="K328" s="22" t="s">
        <v>253</v>
      </c>
      <c r="L328" s="5">
        <f t="shared" si="8"/>
        <v>899.9999999999992</v>
      </c>
      <c r="M328" s="21">
        <f t="shared" si="9"/>
        <v>19052833.499999981</v>
      </c>
    </row>
    <row r="329" spans="1:13">
      <c r="A329" s="18" t="s">
        <v>250</v>
      </c>
      <c r="B329" s="22">
        <v>2105500</v>
      </c>
      <c r="C329" s="1">
        <v>43925</v>
      </c>
      <c r="D329" s="19">
        <v>8.3333333333333329E-2</v>
      </c>
      <c r="E329" s="22" t="s">
        <v>251</v>
      </c>
      <c r="F329" s="22">
        <v>2810</v>
      </c>
      <c r="G329" s="22" t="s">
        <v>252</v>
      </c>
      <c r="H329" s="22">
        <v>2.58</v>
      </c>
      <c r="I329" s="22" t="s">
        <v>252</v>
      </c>
      <c r="J329" s="22">
        <v>0</v>
      </c>
      <c r="K329" s="22" t="s">
        <v>253</v>
      </c>
      <c r="L329" s="5">
        <f t="shared" si="8"/>
        <v>900.00000000000045</v>
      </c>
      <c r="M329" s="21">
        <f t="shared" si="9"/>
        <v>18918184.500000011</v>
      </c>
    </row>
    <row r="330" spans="1:13">
      <c r="A330" s="18" t="s">
        <v>250</v>
      </c>
      <c r="B330" s="22">
        <v>2105500</v>
      </c>
      <c r="C330" s="1">
        <v>43925</v>
      </c>
      <c r="D330" s="19">
        <v>9.375E-2</v>
      </c>
      <c r="E330" s="22" t="s">
        <v>251</v>
      </c>
      <c r="F330" s="22">
        <v>2810</v>
      </c>
      <c r="G330" s="22" t="s">
        <v>252</v>
      </c>
      <c r="H330" s="22">
        <v>2.58</v>
      </c>
      <c r="I330" s="22" t="s">
        <v>252</v>
      </c>
      <c r="J330" s="22">
        <v>0</v>
      </c>
      <c r="K330" s="22" t="s">
        <v>253</v>
      </c>
      <c r="L330" s="5">
        <f t="shared" si="8"/>
        <v>900.00000000000045</v>
      </c>
      <c r="M330" s="21">
        <f t="shared" si="9"/>
        <v>18918184.500000011</v>
      </c>
    </row>
    <row r="331" spans="1:13">
      <c r="A331" s="18" t="s">
        <v>250</v>
      </c>
      <c r="B331" s="22">
        <v>2105500</v>
      </c>
      <c r="C331" s="1">
        <v>43925</v>
      </c>
      <c r="D331" s="19">
        <v>0.10416666666666667</v>
      </c>
      <c r="E331" s="22" t="s">
        <v>251</v>
      </c>
      <c r="F331" s="22">
        <v>2810</v>
      </c>
      <c r="G331" s="22" t="s">
        <v>252</v>
      </c>
      <c r="H331" s="22">
        <v>2.58</v>
      </c>
      <c r="I331" s="22" t="s">
        <v>252</v>
      </c>
      <c r="J331" s="22">
        <v>0</v>
      </c>
      <c r="K331" s="22" t="s">
        <v>253</v>
      </c>
      <c r="L331" s="5">
        <f t="shared" si="8"/>
        <v>899.9999999999992</v>
      </c>
      <c r="M331" s="21">
        <f t="shared" si="9"/>
        <v>18918184.499999981</v>
      </c>
    </row>
    <row r="332" spans="1:13">
      <c r="A332" s="18" t="s">
        <v>250</v>
      </c>
      <c r="B332" s="22">
        <v>2105500</v>
      </c>
      <c r="C332" s="1">
        <v>43925</v>
      </c>
      <c r="D332" s="19">
        <v>0.11458333333333333</v>
      </c>
      <c r="E332" s="22" t="s">
        <v>251</v>
      </c>
      <c r="F332" s="22">
        <v>2790</v>
      </c>
      <c r="G332" s="22" t="s">
        <v>252</v>
      </c>
      <c r="H332" s="22">
        <v>2.57</v>
      </c>
      <c r="I332" s="22" t="s">
        <v>252</v>
      </c>
      <c r="J332" s="22">
        <v>0</v>
      </c>
      <c r="K332" s="22" t="s">
        <v>253</v>
      </c>
      <c r="L332" s="5">
        <f t="shared" si="8"/>
        <v>900.00000000000045</v>
      </c>
      <c r="M332" s="21">
        <f t="shared" si="9"/>
        <v>18783535.500000011</v>
      </c>
    </row>
    <row r="333" spans="1:13">
      <c r="A333" s="18" t="s">
        <v>250</v>
      </c>
      <c r="B333" s="22">
        <v>2105500</v>
      </c>
      <c r="C333" s="1">
        <v>43925</v>
      </c>
      <c r="D333" s="19">
        <v>0.125</v>
      </c>
      <c r="E333" s="22" t="s">
        <v>251</v>
      </c>
      <c r="F333" s="22">
        <v>2790</v>
      </c>
      <c r="G333" s="22" t="s">
        <v>252</v>
      </c>
      <c r="H333" s="22">
        <v>2.57</v>
      </c>
      <c r="I333" s="22" t="s">
        <v>252</v>
      </c>
      <c r="J333" s="22">
        <v>0</v>
      </c>
      <c r="K333" s="22" t="s">
        <v>253</v>
      </c>
      <c r="L333" s="5">
        <f t="shared" si="8"/>
        <v>899.9999999999992</v>
      </c>
      <c r="M333" s="21">
        <f t="shared" si="9"/>
        <v>18783535.499999981</v>
      </c>
    </row>
    <row r="334" spans="1:13">
      <c r="A334" s="18" t="s">
        <v>250</v>
      </c>
      <c r="B334" s="22">
        <v>2105500</v>
      </c>
      <c r="C334" s="1">
        <v>43925</v>
      </c>
      <c r="D334" s="19">
        <v>0.13541666666666666</v>
      </c>
      <c r="E334" s="22" t="s">
        <v>251</v>
      </c>
      <c r="F334" s="22">
        <v>2790</v>
      </c>
      <c r="G334" s="22" t="s">
        <v>252</v>
      </c>
      <c r="H334" s="22">
        <v>2.57</v>
      </c>
      <c r="I334" s="22" t="s">
        <v>252</v>
      </c>
      <c r="J334" s="22">
        <v>0</v>
      </c>
      <c r="K334" s="22" t="s">
        <v>253</v>
      </c>
      <c r="L334" s="5">
        <f t="shared" si="8"/>
        <v>900.00000000000159</v>
      </c>
      <c r="M334" s="21">
        <f t="shared" si="9"/>
        <v>18783535.500000034</v>
      </c>
    </row>
    <row r="335" spans="1:13">
      <c r="A335" s="18" t="s">
        <v>250</v>
      </c>
      <c r="B335" s="22">
        <v>2105500</v>
      </c>
      <c r="C335" s="1">
        <v>43925</v>
      </c>
      <c r="D335" s="19">
        <v>0.14583333333333334</v>
      </c>
      <c r="E335" s="22" t="s">
        <v>251</v>
      </c>
      <c r="F335" s="22">
        <v>2790</v>
      </c>
      <c r="G335" s="22" t="s">
        <v>252</v>
      </c>
      <c r="H335" s="22">
        <v>2.57</v>
      </c>
      <c r="I335" s="22" t="s">
        <v>252</v>
      </c>
      <c r="J335" s="22">
        <v>0</v>
      </c>
      <c r="K335" s="22" t="s">
        <v>253</v>
      </c>
      <c r="L335" s="5">
        <f t="shared" si="8"/>
        <v>899.9999999999992</v>
      </c>
      <c r="M335" s="21">
        <f t="shared" si="9"/>
        <v>18783535.499999981</v>
      </c>
    </row>
    <row r="336" spans="1:13">
      <c r="A336" s="18" t="s">
        <v>250</v>
      </c>
      <c r="B336" s="22">
        <v>2105500</v>
      </c>
      <c r="C336" s="1">
        <v>43925</v>
      </c>
      <c r="D336" s="19">
        <v>0.15625</v>
      </c>
      <c r="E336" s="22" t="s">
        <v>251</v>
      </c>
      <c r="F336" s="22">
        <v>2790</v>
      </c>
      <c r="G336" s="22" t="s">
        <v>252</v>
      </c>
      <c r="H336" s="22">
        <v>2.57</v>
      </c>
      <c r="I336" s="22" t="s">
        <v>252</v>
      </c>
      <c r="J336" s="22">
        <v>0</v>
      </c>
      <c r="K336" s="22" t="s">
        <v>253</v>
      </c>
      <c r="L336" s="5">
        <f t="shared" si="8"/>
        <v>899.9999999999992</v>
      </c>
      <c r="M336" s="21">
        <f t="shared" si="9"/>
        <v>18783535.499999981</v>
      </c>
    </row>
    <row r="337" spans="1:13">
      <c r="A337" s="18" t="s">
        <v>250</v>
      </c>
      <c r="B337" s="22">
        <v>2105500</v>
      </c>
      <c r="C337" s="1">
        <v>43925</v>
      </c>
      <c r="D337" s="19">
        <v>0.16666666666666666</v>
      </c>
      <c r="E337" s="22" t="s">
        <v>251</v>
      </c>
      <c r="F337" s="22">
        <v>2780</v>
      </c>
      <c r="G337" s="22" t="s">
        <v>252</v>
      </c>
      <c r="H337" s="22">
        <v>2.56</v>
      </c>
      <c r="I337" s="22" t="s">
        <v>252</v>
      </c>
      <c r="J337" s="22">
        <v>0</v>
      </c>
      <c r="K337" s="22" t="s">
        <v>253</v>
      </c>
      <c r="L337" s="5">
        <f t="shared" si="8"/>
        <v>900.00000000000159</v>
      </c>
      <c r="M337" s="21">
        <f t="shared" si="9"/>
        <v>18716211.000000034</v>
      </c>
    </row>
    <row r="338" spans="1:13">
      <c r="A338" s="18" t="s">
        <v>250</v>
      </c>
      <c r="B338" s="22">
        <v>2105500</v>
      </c>
      <c r="C338" s="1">
        <v>43925</v>
      </c>
      <c r="D338" s="19">
        <v>0.17708333333333334</v>
      </c>
      <c r="E338" s="22" t="s">
        <v>251</v>
      </c>
      <c r="F338" s="22">
        <v>2760</v>
      </c>
      <c r="G338" s="22" t="s">
        <v>252</v>
      </c>
      <c r="H338" s="22">
        <v>2.5499999999999998</v>
      </c>
      <c r="I338" s="22" t="s">
        <v>252</v>
      </c>
      <c r="J338" s="22">
        <v>0</v>
      </c>
      <c r="K338" s="22" t="s">
        <v>253</v>
      </c>
      <c r="L338" s="5">
        <f t="shared" si="8"/>
        <v>899.9999999999992</v>
      </c>
      <c r="M338" s="21">
        <f t="shared" si="9"/>
        <v>18581561.999999981</v>
      </c>
    </row>
    <row r="339" spans="1:13">
      <c r="A339" s="18" t="s">
        <v>250</v>
      </c>
      <c r="B339" s="22">
        <v>2105500</v>
      </c>
      <c r="C339" s="1">
        <v>43925</v>
      </c>
      <c r="D339" s="19">
        <v>0.1875</v>
      </c>
      <c r="E339" s="22" t="s">
        <v>251</v>
      </c>
      <c r="F339" s="22">
        <v>2760</v>
      </c>
      <c r="G339" s="22" t="s">
        <v>252</v>
      </c>
      <c r="H339" s="22">
        <v>2.5499999999999998</v>
      </c>
      <c r="I339" s="22" t="s">
        <v>252</v>
      </c>
      <c r="J339" s="22">
        <v>0</v>
      </c>
      <c r="K339" s="22" t="s">
        <v>253</v>
      </c>
      <c r="L339" s="5">
        <f t="shared" si="8"/>
        <v>899.9999999999992</v>
      </c>
      <c r="M339" s="21">
        <f t="shared" si="9"/>
        <v>18581561.999999981</v>
      </c>
    </row>
    <row r="340" spans="1:13">
      <c r="A340" s="18" t="s">
        <v>250</v>
      </c>
      <c r="B340" s="22">
        <v>2105500</v>
      </c>
      <c r="C340" s="1">
        <v>43925</v>
      </c>
      <c r="D340" s="19">
        <v>0.19791666666666666</v>
      </c>
      <c r="E340" s="22" t="s">
        <v>251</v>
      </c>
      <c r="F340" s="22">
        <v>2760</v>
      </c>
      <c r="G340" s="22" t="s">
        <v>252</v>
      </c>
      <c r="H340" s="22">
        <v>2.5499999999999998</v>
      </c>
      <c r="I340" s="22" t="s">
        <v>252</v>
      </c>
      <c r="J340" s="22">
        <v>0</v>
      </c>
      <c r="K340" s="22" t="s">
        <v>253</v>
      </c>
      <c r="L340" s="5">
        <f t="shared" si="8"/>
        <v>900.00000000000159</v>
      </c>
      <c r="M340" s="21">
        <f t="shared" si="9"/>
        <v>18581562.000000034</v>
      </c>
    </row>
    <row r="341" spans="1:13">
      <c r="A341" s="18" t="s">
        <v>250</v>
      </c>
      <c r="B341" s="22">
        <v>2105500</v>
      </c>
      <c r="C341" s="1">
        <v>43925</v>
      </c>
      <c r="D341" s="19">
        <v>0.20833333333333334</v>
      </c>
      <c r="E341" s="22" t="s">
        <v>251</v>
      </c>
      <c r="F341" s="22">
        <v>2760</v>
      </c>
      <c r="G341" s="22" t="s">
        <v>252</v>
      </c>
      <c r="H341" s="22">
        <v>2.5499999999999998</v>
      </c>
      <c r="I341" s="22" t="s">
        <v>252</v>
      </c>
      <c r="J341" s="22">
        <v>0</v>
      </c>
      <c r="K341" s="22" t="s">
        <v>253</v>
      </c>
      <c r="L341" s="5">
        <f t="shared" si="8"/>
        <v>899.9999999999992</v>
      </c>
      <c r="M341" s="21">
        <f t="shared" si="9"/>
        <v>18581561.999999981</v>
      </c>
    </row>
    <row r="342" spans="1:13">
      <c r="A342" s="18" t="s">
        <v>250</v>
      </c>
      <c r="B342" s="22">
        <v>2105500</v>
      </c>
      <c r="C342" s="1">
        <v>43925</v>
      </c>
      <c r="D342" s="19">
        <v>0.21875</v>
      </c>
      <c r="E342" s="22" t="s">
        <v>251</v>
      </c>
      <c r="F342" s="22">
        <v>2740</v>
      </c>
      <c r="G342" s="22" t="s">
        <v>252</v>
      </c>
      <c r="H342" s="22">
        <v>2.54</v>
      </c>
      <c r="I342" s="22" t="s">
        <v>252</v>
      </c>
      <c r="J342" s="22">
        <v>0</v>
      </c>
      <c r="K342" s="22" t="s">
        <v>253</v>
      </c>
      <c r="L342" s="5">
        <f t="shared" si="8"/>
        <v>899.9999999999992</v>
      </c>
      <c r="M342" s="21">
        <f t="shared" si="9"/>
        <v>18446912.999999981</v>
      </c>
    </row>
    <row r="343" spans="1:13">
      <c r="A343" s="18" t="s">
        <v>250</v>
      </c>
      <c r="B343" s="22">
        <v>2105500</v>
      </c>
      <c r="C343" s="1">
        <v>43925</v>
      </c>
      <c r="D343" s="19">
        <v>0.22916666666666666</v>
      </c>
      <c r="E343" s="22" t="s">
        <v>251</v>
      </c>
      <c r="F343" s="22">
        <v>2760</v>
      </c>
      <c r="G343" s="22" t="s">
        <v>252</v>
      </c>
      <c r="H343" s="22">
        <v>2.5499999999999998</v>
      </c>
      <c r="I343" s="22" t="s">
        <v>252</v>
      </c>
      <c r="J343" s="22">
        <v>0</v>
      </c>
      <c r="K343" s="22" t="s">
        <v>253</v>
      </c>
      <c r="L343" s="5">
        <f t="shared" si="8"/>
        <v>900.00000000000159</v>
      </c>
      <c r="M343" s="21">
        <f t="shared" si="9"/>
        <v>18581562.000000034</v>
      </c>
    </row>
    <row r="344" spans="1:13">
      <c r="A344" s="18" t="s">
        <v>250</v>
      </c>
      <c r="B344" s="22">
        <v>2105500</v>
      </c>
      <c r="C344" s="1">
        <v>43925</v>
      </c>
      <c r="D344" s="19">
        <v>0.23958333333333334</v>
      </c>
      <c r="E344" s="22" t="s">
        <v>251</v>
      </c>
      <c r="F344" s="22">
        <v>2760</v>
      </c>
      <c r="G344" s="22" t="s">
        <v>252</v>
      </c>
      <c r="H344" s="22">
        <v>2.5499999999999998</v>
      </c>
      <c r="I344" s="22" t="s">
        <v>252</v>
      </c>
      <c r="J344" s="22">
        <v>0</v>
      </c>
      <c r="K344" s="22" t="s">
        <v>253</v>
      </c>
      <c r="L344" s="5">
        <f t="shared" si="8"/>
        <v>899.9999999999992</v>
      </c>
      <c r="M344" s="21">
        <f t="shared" si="9"/>
        <v>18581561.999999981</v>
      </c>
    </row>
    <row r="345" spans="1:13">
      <c r="A345" s="18" t="s">
        <v>250</v>
      </c>
      <c r="B345" s="22">
        <v>2105500</v>
      </c>
      <c r="C345" s="1">
        <v>43925</v>
      </c>
      <c r="D345" s="19">
        <v>0.25</v>
      </c>
      <c r="E345" s="22" t="s">
        <v>251</v>
      </c>
      <c r="F345" s="22">
        <v>2740</v>
      </c>
      <c r="G345" s="22" t="s">
        <v>252</v>
      </c>
      <c r="H345" s="22">
        <v>2.54</v>
      </c>
      <c r="I345" s="22" t="s">
        <v>252</v>
      </c>
      <c r="J345" s="22">
        <v>0</v>
      </c>
      <c r="K345" s="22" t="s">
        <v>253</v>
      </c>
      <c r="L345" s="5">
        <f t="shared" si="8"/>
        <v>900.00000000000159</v>
      </c>
      <c r="M345" s="21">
        <f t="shared" si="9"/>
        <v>18446913.000000034</v>
      </c>
    </row>
    <row r="346" spans="1:13">
      <c r="A346" s="18" t="s">
        <v>250</v>
      </c>
      <c r="B346" s="22">
        <v>2105500</v>
      </c>
      <c r="C346" s="1">
        <v>43925</v>
      </c>
      <c r="D346" s="19">
        <v>0.26041666666666669</v>
      </c>
      <c r="E346" s="22" t="s">
        <v>251</v>
      </c>
      <c r="F346" s="22">
        <v>2740</v>
      </c>
      <c r="G346" s="22" t="s">
        <v>252</v>
      </c>
      <c r="H346" s="22">
        <v>2.54</v>
      </c>
      <c r="I346" s="22" t="s">
        <v>252</v>
      </c>
      <c r="J346" s="22">
        <v>0</v>
      </c>
      <c r="K346" s="22" t="s">
        <v>253</v>
      </c>
      <c r="L346" s="5">
        <f t="shared" si="8"/>
        <v>899.99999999999682</v>
      </c>
      <c r="M346" s="21">
        <f t="shared" si="9"/>
        <v>18446912.999999933</v>
      </c>
    </row>
    <row r="347" spans="1:13">
      <c r="A347" s="18" t="s">
        <v>250</v>
      </c>
      <c r="B347" s="22">
        <v>2105500</v>
      </c>
      <c r="C347" s="1">
        <v>43925</v>
      </c>
      <c r="D347" s="19">
        <v>0.27083333333333331</v>
      </c>
      <c r="E347" s="22" t="s">
        <v>251</v>
      </c>
      <c r="F347" s="22">
        <v>2740</v>
      </c>
      <c r="G347" s="22" t="s">
        <v>252</v>
      </c>
      <c r="H347" s="22">
        <v>2.54</v>
      </c>
      <c r="I347" s="22" t="s">
        <v>252</v>
      </c>
      <c r="J347" s="22">
        <v>0</v>
      </c>
      <c r="K347" s="22" t="s">
        <v>253</v>
      </c>
      <c r="L347" s="5">
        <f t="shared" si="8"/>
        <v>900.00000000000159</v>
      </c>
      <c r="M347" s="21">
        <f t="shared" si="9"/>
        <v>18446913.000000034</v>
      </c>
    </row>
    <row r="348" spans="1:13">
      <c r="A348" s="18" t="s">
        <v>250</v>
      </c>
      <c r="B348" s="22">
        <v>2105500</v>
      </c>
      <c r="C348" s="1">
        <v>43925</v>
      </c>
      <c r="D348" s="19">
        <v>0.28125</v>
      </c>
      <c r="E348" s="22" t="s">
        <v>251</v>
      </c>
      <c r="F348" s="22">
        <v>2740</v>
      </c>
      <c r="G348" s="22" t="s">
        <v>252</v>
      </c>
      <c r="H348" s="22">
        <v>2.54</v>
      </c>
      <c r="I348" s="22" t="s">
        <v>252</v>
      </c>
      <c r="J348" s="22">
        <v>0</v>
      </c>
      <c r="K348" s="22" t="s">
        <v>253</v>
      </c>
      <c r="L348" s="5">
        <f t="shared" si="8"/>
        <v>900.00000000000159</v>
      </c>
      <c r="M348" s="21">
        <f t="shared" si="9"/>
        <v>18446913.000000034</v>
      </c>
    </row>
    <row r="349" spans="1:13">
      <c r="A349" s="18" t="s">
        <v>250</v>
      </c>
      <c r="B349" s="22">
        <v>2105500</v>
      </c>
      <c r="C349" s="1">
        <v>43925</v>
      </c>
      <c r="D349" s="19">
        <v>0.29166666666666669</v>
      </c>
      <c r="E349" s="22" t="s">
        <v>251</v>
      </c>
      <c r="F349" s="22">
        <v>2740</v>
      </c>
      <c r="G349" s="22" t="s">
        <v>252</v>
      </c>
      <c r="H349" s="22">
        <v>2.54</v>
      </c>
      <c r="I349" s="22" t="s">
        <v>252</v>
      </c>
      <c r="J349" s="22">
        <v>0</v>
      </c>
      <c r="K349" s="22" t="s">
        <v>253</v>
      </c>
      <c r="L349" s="5">
        <f t="shared" si="8"/>
        <v>899.99999999999682</v>
      </c>
      <c r="M349" s="21">
        <f t="shared" si="9"/>
        <v>18446912.999999933</v>
      </c>
    </row>
    <row r="350" spans="1:13">
      <c r="A350" s="18" t="s">
        <v>250</v>
      </c>
      <c r="B350" s="22">
        <v>2105500</v>
      </c>
      <c r="C350" s="1">
        <v>43925</v>
      </c>
      <c r="D350" s="19">
        <v>0.30208333333333331</v>
      </c>
      <c r="E350" s="22" t="s">
        <v>251</v>
      </c>
      <c r="F350" s="22">
        <v>2720</v>
      </c>
      <c r="G350" s="22" t="s">
        <v>252</v>
      </c>
      <c r="H350" s="22">
        <v>2.5299999999999998</v>
      </c>
      <c r="I350" s="22" t="s">
        <v>252</v>
      </c>
      <c r="J350" s="22">
        <v>0</v>
      </c>
      <c r="K350" s="22" t="s">
        <v>253</v>
      </c>
      <c r="L350" s="5">
        <f t="shared" si="8"/>
        <v>900.00000000000159</v>
      </c>
      <c r="M350" s="21">
        <f t="shared" si="9"/>
        <v>18312264.000000034</v>
      </c>
    </row>
    <row r="351" spans="1:13">
      <c r="A351" s="18" t="s">
        <v>250</v>
      </c>
      <c r="B351" s="22">
        <v>2105500</v>
      </c>
      <c r="C351" s="1">
        <v>43925</v>
      </c>
      <c r="D351" s="19">
        <v>0.3125</v>
      </c>
      <c r="E351" s="22" t="s">
        <v>251</v>
      </c>
      <c r="F351" s="22">
        <v>2720</v>
      </c>
      <c r="G351" s="22" t="s">
        <v>252</v>
      </c>
      <c r="H351" s="22">
        <v>2.5299999999999998</v>
      </c>
      <c r="I351" s="22" t="s">
        <v>252</v>
      </c>
      <c r="J351" s="22">
        <v>0</v>
      </c>
      <c r="K351" s="22" t="s">
        <v>253</v>
      </c>
      <c r="L351" s="5">
        <f t="shared" si="8"/>
        <v>900.00000000000159</v>
      </c>
      <c r="M351" s="21">
        <f t="shared" si="9"/>
        <v>18312264.000000034</v>
      </c>
    </row>
    <row r="352" spans="1:13">
      <c r="A352" s="18" t="s">
        <v>250</v>
      </c>
      <c r="B352" s="22">
        <v>2105500</v>
      </c>
      <c r="C352" s="1">
        <v>43925</v>
      </c>
      <c r="D352" s="19">
        <v>0.32291666666666669</v>
      </c>
      <c r="E352" s="22" t="s">
        <v>251</v>
      </c>
      <c r="F352" s="22">
        <v>2720</v>
      </c>
      <c r="G352" s="22" t="s">
        <v>252</v>
      </c>
      <c r="H352" s="22">
        <v>2.5299999999999998</v>
      </c>
      <c r="I352" s="22" t="s">
        <v>252</v>
      </c>
      <c r="J352" s="22">
        <v>0</v>
      </c>
      <c r="K352" s="22" t="s">
        <v>253</v>
      </c>
      <c r="L352" s="5">
        <f t="shared" si="8"/>
        <v>899.99999999999682</v>
      </c>
      <c r="M352" s="21">
        <f t="shared" si="9"/>
        <v>18312263.999999933</v>
      </c>
    </row>
    <row r="353" spans="1:13">
      <c r="A353" s="18" t="s">
        <v>250</v>
      </c>
      <c r="B353" s="22">
        <v>2105500</v>
      </c>
      <c r="C353" s="1">
        <v>43925</v>
      </c>
      <c r="D353" s="19">
        <v>0.33333333333333331</v>
      </c>
      <c r="E353" s="22" t="s">
        <v>251</v>
      </c>
      <c r="F353" s="22">
        <v>2720</v>
      </c>
      <c r="G353" s="22" t="s">
        <v>252</v>
      </c>
      <c r="H353" s="22">
        <v>2.5299999999999998</v>
      </c>
      <c r="I353" s="22" t="s">
        <v>252</v>
      </c>
      <c r="J353" s="22">
        <v>0</v>
      </c>
      <c r="K353" s="22" t="s">
        <v>253</v>
      </c>
      <c r="L353" s="5">
        <f t="shared" si="8"/>
        <v>900.00000000000159</v>
      </c>
      <c r="M353" s="21">
        <f t="shared" si="9"/>
        <v>18312264.000000034</v>
      </c>
    </row>
    <row r="354" spans="1:13">
      <c r="A354" s="18" t="s">
        <v>250</v>
      </c>
      <c r="B354" s="22">
        <v>2105500</v>
      </c>
      <c r="C354" s="1">
        <v>43925</v>
      </c>
      <c r="D354" s="19">
        <v>0.34375</v>
      </c>
      <c r="E354" s="22" t="s">
        <v>251</v>
      </c>
      <c r="F354" s="22">
        <v>2720</v>
      </c>
      <c r="G354" s="22" t="s">
        <v>252</v>
      </c>
      <c r="H354" s="22">
        <v>2.5299999999999998</v>
      </c>
      <c r="I354" s="22" t="s">
        <v>252</v>
      </c>
      <c r="J354" s="22">
        <v>0</v>
      </c>
      <c r="K354" s="22" t="s">
        <v>253</v>
      </c>
      <c r="L354" s="5">
        <f t="shared" ref="L354:L415" si="10">CONVERT((D355-D354),"day","sec")</f>
        <v>900.00000000000159</v>
      </c>
      <c r="M354" s="21">
        <f t="shared" ref="M354:M416" si="11">F354*L354*7.4805</f>
        <v>18312264.000000034</v>
      </c>
    </row>
    <row r="355" spans="1:13">
      <c r="A355" s="18" t="s">
        <v>250</v>
      </c>
      <c r="B355" s="22">
        <v>2105500</v>
      </c>
      <c r="C355" s="1">
        <v>43925</v>
      </c>
      <c r="D355" s="19">
        <v>0.35416666666666669</v>
      </c>
      <c r="E355" s="22" t="s">
        <v>251</v>
      </c>
      <c r="F355" s="22">
        <v>2710</v>
      </c>
      <c r="G355" s="22" t="s">
        <v>252</v>
      </c>
      <c r="H355" s="22">
        <v>2.52</v>
      </c>
      <c r="I355" s="22" t="s">
        <v>252</v>
      </c>
      <c r="J355" s="22">
        <v>0</v>
      </c>
      <c r="K355" s="22" t="s">
        <v>253</v>
      </c>
      <c r="L355" s="5">
        <f t="shared" si="10"/>
        <v>899.99999999999682</v>
      </c>
      <c r="M355" s="21">
        <f t="shared" si="11"/>
        <v>18244939.499999933</v>
      </c>
    </row>
    <row r="356" spans="1:13">
      <c r="A356" s="18" t="s">
        <v>250</v>
      </c>
      <c r="B356" s="22">
        <v>2105500</v>
      </c>
      <c r="C356" s="1">
        <v>43925</v>
      </c>
      <c r="D356" s="19">
        <v>0.36458333333333331</v>
      </c>
      <c r="E356" s="22" t="s">
        <v>251</v>
      </c>
      <c r="F356" s="22">
        <v>2710</v>
      </c>
      <c r="G356" s="22" t="s">
        <v>252</v>
      </c>
      <c r="H356" s="22">
        <v>2.52</v>
      </c>
      <c r="I356" s="22" t="s">
        <v>252</v>
      </c>
      <c r="J356" s="22">
        <v>0</v>
      </c>
      <c r="K356" s="22" t="s">
        <v>253</v>
      </c>
      <c r="L356" s="5">
        <f t="shared" si="10"/>
        <v>900.00000000000159</v>
      </c>
      <c r="M356" s="21">
        <f t="shared" si="11"/>
        <v>18244939.500000034</v>
      </c>
    </row>
    <row r="357" spans="1:13">
      <c r="A357" s="18" t="s">
        <v>250</v>
      </c>
      <c r="B357" s="22">
        <v>2105500</v>
      </c>
      <c r="C357" s="1">
        <v>43925</v>
      </c>
      <c r="D357" s="19">
        <v>0.375</v>
      </c>
      <c r="E357" s="22" t="s">
        <v>251</v>
      </c>
      <c r="F357" s="22">
        <v>2710</v>
      </c>
      <c r="G357" s="22" t="s">
        <v>252</v>
      </c>
      <c r="H357" s="22">
        <v>2.52</v>
      </c>
      <c r="I357" s="22" t="s">
        <v>252</v>
      </c>
      <c r="J357" s="22">
        <v>0</v>
      </c>
      <c r="K357" s="22" t="s">
        <v>253</v>
      </c>
      <c r="L357" s="5">
        <f t="shared" si="10"/>
        <v>900.00000000000159</v>
      </c>
      <c r="M357" s="21">
        <f t="shared" si="11"/>
        <v>18244939.500000034</v>
      </c>
    </row>
    <row r="358" spans="1:13">
      <c r="A358" s="18" t="s">
        <v>250</v>
      </c>
      <c r="B358" s="22">
        <v>2105500</v>
      </c>
      <c r="C358" s="1">
        <v>43925</v>
      </c>
      <c r="D358" s="19">
        <v>0.38541666666666669</v>
      </c>
      <c r="E358" s="22" t="s">
        <v>251</v>
      </c>
      <c r="F358" s="22">
        <v>2710</v>
      </c>
      <c r="G358" s="22" t="s">
        <v>252</v>
      </c>
      <c r="H358" s="22">
        <v>2.52</v>
      </c>
      <c r="I358" s="22" t="s">
        <v>252</v>
      </c>
      <c r="J358" s="22">
        <v>0</v>
      </c>
      <c r="K358" s="22" t="s">
        <v>253</v>
      </c>
      <c r="L358" s="5">
        <f t="shared" si="10"/>
        <v>899.99999999999682</v>
      </c>
      <c r="M358" s="21">
        <f t="shared" si="11"/>
        <v>18244939.499999933</v>
      </c>
    </row>
    <row r="359" spans="1:13">
      <c r="A359" s="18" t="s">
        <v>250</v>
      </c>
      <c r="B359" s="22">
        <v>2105500</v>
      </c>
      <c r="C359" s="1">
        <v>43925</v>
      </c>
      <c r="D359" s="19">
        <v>0.39583333333333331</v>
      </c>
      <c r="E359" s="22" t="s">
        <v>251</v>
      </c>
      <c r="F359" s="22">
        <v>2710</v>
      </c>
      <c r="G359" s="22" t="s">
        <v>252</v>
      </c>
      <c r="H359" s="22">
        <v>2.52</v>
      </c>
      <c r="I359" s="22" t="s">
        <v>252</v>
      </c>
      <c r="J359" s="22">
        <v>0</v>
      </c>
      <c r="K359" s="22" t="s">
        <v>253</v>
      </c>
      <c r="L359" s="5">
        <f t="shared" si="10"/>
        <v>900.00000000000159</v>
      </c>
      <c r="M359" s="21">
        <f t="shared" si="11"/>
        <v>18244939.500000034</v>
      </c>
    </row>
    <row r="360" spans="1:13">
      <c r="A360" s="18" t="s">
        <v>250</v>
      </c>
      <c r="B360" s="22">
        <v>2105500</v>
      </c>
      <c r="C360" s="1">
        <v>43925</v>
      </c>
      <c r="D360" s="19">
        <v>0.40625</v>
      </c>
      <c r="E360" s="22" t="s">
        <v>251</v>
      </c>
      <c r="F360" s="22">
        <v>2710</v>
      </c>
      <c r="G360" s="22" t="s">
        <v>252</v>
      </c>
      <c r="H360" s="22">
        <v>2.52</v>
      </c>
      <c r="I360" s="22" t="s">
        <v>252</v>
      </c>
      <c r="J360" s="22">
        <v>0</v>
      </c>
      <c r="K360" s="22" t="s">
        <v>253</v>
      </c>
      <c r="L360" s="5">
        <f t="shared" si="10"/>
        <v>900.00000000000159</v>
      </c>
      <c r="M360" s="21">
        <f t="shared" si="11"/>
        <v>18244939.500000034</v>
      </c>
    </row>
    <row r="361" spans="1:13">
      <c r="A361" s="18" t="s">
        <v>250</v>
      </c>
      <c r="B361" s="22">
        <v>2105500</v>
      </c>
      <c r="C361" s="1">
        <v>43925</v>
      </c>
      <c r="D361" s="19">
        <v>0.41666666666666669</v>
      </c>
      <c r="E361" s="22" t="s">
        <v>251</v>
      </c>
      <c r="F361" s="22">
        <v>2690</v>
      </c>
      <c r="G361" s="22" t="s">
        <v>252</v>
      </c>
      <c r="H361" s="22">
        <v>2.5099999999999998</v>
      </c>
      <c r="I361" s="22" t="s">
        <v>252</v>
      </c>
      <c r="J361" s="22">
        <v>0</v>
      </c>
      <c r="K361" s="22" t="s">
        <v>253</v>
      </c>
      <c r="L361" s="5">
        <f t="shared" si="10"/>
        <v>899.99999999999682</v>
      </c>
      <c r="M361" s="21">
        <f t="shared" si="11"/>
        <v>18110290.499999937</v>
      </c>
    </row>
    <row r="362" spans="1:13">
      <c r="A362" s="18" t="s">
        <v>250</v>
      </c>
      <c r="B362" s="22">
        <v>2105500</v>
      </c>
      <c r="C362" s="1">
        <v>43925</v>
      </c>
      <c r="D362" s="19">
        <v>0.42708333333333331</v>
      </c>
      <c r="E362" s="22" t="s">
        <v>251</v>
      </c>
      <c r="F362" s="22">
        <v>2690</v>
      </c>
      <c r="G362" s="22" t="s">
        <v>252</v>
      </c>
      <c r="H362" s="22">
        <v>2.5099999999999998</v>
      </c>
      <c r="I362" s="22" t="s">
        <v>252</v>
      </c>
      <c r="J362" s="22">
        <v>0</v>
      </c>
      <c r="K362" s="22" t="s">
        <v>253</v>
      </c>
      <c r="L362" s="5">
        <f t="shared" si="10"/>
        <v>900.00000000000159</v>
      </c>
      <c r="M362" s="21">
        <f t="shared" si="11"/>
        <v>18110290.500000034</v>
      </c>
    </row>
    <row r="363" spans="1:13">
      <c r="A363" s="18" t="s">
        <v>250</v>
      </c>
      <c r="B363" s="22">
        <v>2105500</v>
      </c>
      <c r="C363" s="1">
        <v>43925</v>
      </c>
      <c r="D363" s="19">
        <v>0.4375</v>
      </c>
      <c r="E363" s="22" t="s">
        <v>251</v>
      </c>
      <c r="F363" s="22">
        <v>2710</v>
      </c>
      <c r="G363" s="22" t="s">
        <v>252</v>
      </c>
      <c r="H363" s="22">
        <v>2.52</v>
      </c>
      <c r="I363" s="22" t="s">
        <v>252</v>
      </c>
      <c r="J363" s="22">
        <v>0</v>
      </c>
      <c r="K363" s="22" t="s">
        <v>253</v>
      </c>
      <c r="L363" s="5">
        <f t="shared" si="10"/>
        <v>900.00000000000159</v>
      </c>
      <c r="M363" s="21">
        <f t="shared" si="11"/>
        <v>18244939.500000034</v>
      </c>
    </row>
    <row r="364" spans="1:13">
      <c r="A364" s="18" t="s">
        <v>250</v>
      </c>
      <c r="B364" s="22">
        <v>2105500</v>
      </c>
      <c r="C364" s="1">
        <v>43925</v>
      </c>
      <c r="D364" s="19">
        <v>0.44791666666666669</v>
      </c>
      <c r="E364" s="22" t="s">
        <v>251</v>
      </c>
      <c r="F364" s="22">
        <v>2690</v>
      </c>
      <c r="G364" s="22" t="s">
        <v>252</v>
      </c>
      <c r="H364" s="22">
        <v>2.5099999999999998</v>
      </c>
      <c r="I364" s="22" t="s">
        <v>252</v>
      </c>
      <c r="J364" s="22">
        <v>0</v>
      </c>
      <c r="K364" s="22" t="s">
        <v>253</v>
      </c>
      <c r="L364" s="5">
        <f t="shared" si="10"/>
        <v>899.99999999999682</v>
      </c>
      <c r="M364" s="21">
        <f t="shared" si="11"/>
        <v>18110290.499999937</v>
      </c>
    </row>
    <row r="365" spans="1:13">
      <c r="A365" s="18" t="s">
        <v>250</v>
      </c>
      <c r="B365" s="22">
        <v>2105500</v>
      </c>
      <c r="C365" s="1">
        <v>43925</v>
      </c>
      <c r="D365" s="19">
        <v>0.45833333333333331</v>
      </c>
      <c r="E365" s="22" t="s">
        <v>251</v>
      </c>
      <c r="F365" s="22">
        <v>2690</v>
      </c>
      <c r="G365" s="22" t="s">
        <v>252</v>
      </c>
      <c r="H365" s="22">
        <v>2.5099999999999998</v>
      </c>
      <c r="I365" s="22" t="s">
        <v>252</v>
      </c>
      <c r="J365" s="22">
        <v>0</v>
      </c>
      <c r="K365" s="22" t="s">
        <v>253</v>
      </c>
      <c r="L365" s="5">
        <f t="shared" si="10"/>
        <v>900.00000000000159</v>
      </c>
      <c r="M365" s="21">
        <f t="shared" si="11"/>
        <v>18110290.500000034</v>
      </c>
    </row>
    <row r="366" spans="1:13">
      <c r="A366" s="18" t="s">
        <v>250</v>
      </c>
      <c r="B366" s="22">
        <v>2105500</v>
      </c>
      <c r="C366" s="1">
        <v>43925</v>
      </c>
      <c r="D366" s="19">
        <v>0.46875</v>
      </c>
      <c r="E366" s="22" t="s">
        <v>251</v>
      </c>
      <c r="F366" s="22">
        <v>2690</v>
      </c>
      <c r="G366" s="22" t="s">
        <v>252</v>
      </c>
      <c r="H366" s="22">
        <v>2.5099999999999998</v>
      </c>
      <c r="I366" s="22" t="s">
        <v>252</v>
      </c>
      <c r="J366" s="22">
        <v>0</v>
      </c>
      <c r="K366" s="22" t="s">
        <v>253</v>
      </c>
      <c r="L366" s="5">
        <f t="shared" si="10"/>
        <v>900.00000000000159</v>
      </c>
      <c r="M366" s="21">
        <f t="shared" si="11"/>
        <v>18110290.500000034</v>
      </c>
    </row>
    <row r="367" spans="1:13">
      <c r="A367" s="18" t="s">
        <v>250</v>
      </c>
      <c r="B367" s="22">
        <v>2105500</v>
      </c>
      <c r="C367" s="1">
        <v>43925</v>
      </c>
      <c r="D367" s="19">
        <v>0.47916666666666669</v>
      </c>
      <c r="E367" s="22" t="s">
        <v>251</v>
      </c>
      <c r="F367" s="22">
        <v>2690</v>
      </c>
      <c r="G367" s="22" t="s">
        <v>252</v>
      </c>
      <c r="H367" s="22">
        <v>2.5099999999999998</v>
      </c>
      <c r="I367" s="22" t="s">
        <v>252</v>
      </c>
      <c r="J367" s="22">
        <v>0</v>
      </c>
      <c r="K367" s="22" t="s">
        <v>253</v>
      </c>
      <c r="L367" s="5">
        <f t="shared" si="10"/>
        <v>899.99999999999682</v>
      </c>
      <c r="M367" s="21">
        <f t="shared" si="11"/>
        <v>18110290.499999937</v>
      </c>
    </row>
    <row r="368" spans="1:13">
      <c r="A368" s="18" t="s">
        <v>250</v>
      </c>
      <c r="B368" s="22">
        <v>2105500</v>
      </c>
      <c r="C368" s="1">
        <v>43925</v>
      </c>
      <c r="D368" s="19">
        <v>0.48958333333333331</v>
      </c>
      <c r="E368" s="22" t="s">
        <v>251</v>
      </c>
      <c r="F368" s="22">
        <v>2670</v>
      </c>
      <c r="G368" s="22" t="s">
        <v>252</v>
      </c>
      <c r="H368" s="22">
        <v>2.5</v>
      </c>
      <c r="I368" s="22" t="s">
        <v>252</v>
      </c>
      <c r="J368" s="22">
        <v>0</v>
      </c>
      <c r="K368" s="22" t="s">
        <v>253</v>
      </c>
      <c r="L368" s="5">
        <f t="shared" si="10"/>
        <v>900.00000000000159</v>
      </c>
      <c r="M368" s="21">
        <f t="shared" si="11"/>
        <v>17975641.500000034</v>
      </c>
    </row>
    <row r="369" spans="1:13">
      <c r="A369" s="18" t="s">
        <v>250</v>
      </c>
      <c r="B369" s="22">
        <v>2105500</v>
      </c>
      <c r="C369" s="1">
        <v>43925</v>
      </c>
      <c r="D369" s="19">
        <v>0.5</v>
      </c>
      <c r="E369" s="22" t="s">
        <v>251</v>
      </c>
      <c r="F369" s="22">
        <v>2670</v>
      </c>
      <c r="G369" s="22" t="s">
        <v>252</v>
      </c>
      <c r="H369" s="22">
        <v>2.5</v>
      </c>
      <c r="I369" s="22" t="s">
        <v>252</v>
      </c>
      <c r="J369" s="22">
        <v>0</v>
      </c>
      <c r="K369" s="22" t="s">
        <v>253</v>
      </c>
      <c r="L369" s="5">
        <f t="shared" si="10"/>
        <v>899.99999999999682</v>
      </c>
      <c r="M369" s="21">
        <f t="shared" si="11"/>
        <v>17975641.499999937</v>
      </c>
    </row>
    <row r="370" spans="1:13">
      <c r="A370" s="18" t="s">
        <v>250</v>
      </c>
      <c r="B370" s="22">
        <v>2105500</v>
      </c>
      <c r="C370" s="1">
        <v>43925</v>
      </c>
      <c r="D370" s="19">
        <v>0.51041666666666663</v>
      </c>
      <c r="E370" s="22" t="s">
        <v>251</v>
      </c>
      <c r="F370" s="22">
        <v>2670</v>
      </c>
      <c r="G370" s="22" t="s">
        <v>252</v>
      </c>
      <c r="H370" s="22">
        <v>2.5</v>
      </c>
      <c r="I370" s="22" t="s">
        <v>252</v>
      </c>
      <c r="J370" s="22">
        <v>0</v>
      </c>
      <c r="K370" s="22" t="s">
        <v>253</v>
      </c>
      <c r="L370" s="5">
        <f t="shared" si="10"/>
        <v>900.00000000000637</v>
      </c>
      <c r="M370" s="21">
        <f t="shared" si="11"/>
        <v>17975641.50000013</v>
      </c>
    </row>
    <row r="371" spans="1:13">
      <c r="A371" s="18" t="s">
        <v>250</v>
      </c>
      <c r="B371" s="22">
        <v>2105500</v>
      </c>
      <c r="C371" s="1">
        <v>43925</v>
      </c>
      <c r="D371" s="19">
        <v>0.52083333333333337</v>
      </c>
      <c r="E371" s="22" t="s">
        <v>251</v>
      </c>
      <c r="F371" s="22">
        <v>2670</v>
      </c>
      <c r="G371" s="22" t="s">
        <v>252</v>
      </c>
      <c r="H371" s="22">
        <v>2.5</v>
      </c>
      <c r="I371" s="22" t="s">
        <v>252</v>
      </c>
      <c r="J371" s="22">
        <v>0</v>
      </c>
      <c r="K371" s="22" t="s">
        <v>253</v>
      </c>
      <c r="L371" s="5">
        <f t="shared" si="10"/>
        <v>899.99999999999682</v>
      </c>
      <c r="M371" s="21">
        <f t="shared" si="11"/>
        <v>17975641.499999937</v>
      </c>
    </row>
    <row r="372" spans="1:13">
      <c r="A372" s="18" t="s">
        <v>250</v>
      </c>
      <c r="B372" s="22">
        <v>2105500</v>
      </c>
      <c r="C372" s="1">
        <v>43925</v>
      </c>
      <c r="D372" s="19">
        <v>0.53125</v>
      </c>
      <c r="E372" s="22" t="s">
        <v>251</v>
      </c>
      <c r="F372" s="22">
        <v>2650</v>
      </c>
      <c r="G372" s="22" t="s">
        <v>252</v>
      </c>
      <c r="H372" s="22">
        <v>2.4900000000000002</v>
      </c>
      <c r="I372" s="22" t="s">
        <v>252</v>
      </c>
      <c r="J372" s="22">
        <v>0</v>
      </c>
      <c r="K372" s="22" t="s">
        <v>253</v>
      </c>
      <c r="L372" s="5">
        <f t="shared" si="10"/>
        <v>899.99999999999682</v>
      </c>
      <c r="M372" s="21">
        <f t="shared" si="11"/>
        <v>17840992.499999937</v>
      </c>
    </row>
    <row r="373" spans="1:13">
      <c r="A373" s="18" t="s">
        <v>250</v>
      </c>
      <c r="B373" s="22">
        <v>2105500</v>
      </c>
      <c r="C373" s="1">
        <v>43925</v>
      </c>
      <c r="D373" s="19">
        <v>0.54166666666666663</v>
      </c>
      <c r="E373" s="22" t="s">
        <v>251</v>
      </c>
      <c r="F373" s="22">
        <v>2670</v>
      </c>
      <c r="G373" s="22" t="s">
        <v>252</v>
      </c>
      <c r="H373" s="22">
        <v>2.5</v>
      </c>
      <c r="I373" s="22" t="s">
        <v>252</v>
      </c>
      <c r="J373" s="22">
        <v>0</v>
      </c>
      <c r="K373" s="22" t="s">
        <v>253</v>
      </c>
      <c r="L373" s="5">
        <f t="shared" si="10"/>
        <v>900.00000000000637</v>
      </c>
      <c r="M373" s="21">
        <f t="shared" si="11"/>
        <v>17975641.50000013</v>
      </c>
    </row>
    <row r="374" spans="1:13">
      <c r="A374" s="18" t="s">
        <v>250</v>
      </c>
      <c r="B374" s="22">
        <v>2105500</v>
      </c>
      <c r="C374" s="1">
        <v>43925</v>
      </c>
      <c r="D374" s="19">
        <v>0.55208333333333337</v>
      </c>
      <c r="E374" s="22" t="s">
        <v>251</v>
      </c>
      <c r="F374" s="22">
        <v>2650</v>
      </c>
      <c r="G374" s="22" t="s">
        <v>252</v>
      </c>
      <c r="H374" s="22">
        <v>2.4900000000000002</v>
      </c>
      <c r="I374" s="22" t="s">
        <v>252</v>
      </c>
      <c r="J374" s="22">
        <v>0</v>
      </c>
      <c r="K374" s="22" t="s">
        <v>253</v>
      </c>
      <c r="L374" s="5">
        <f t="shared" si="10"/>
        <v>899.99999999999682</v>
      </c>
      <c r="M374" s="21">
        <f t="shared" si="11"/>
        <v>17840992.499999937</v>
      </c>
    </row>
    <row r="375" spans="1:13">
      <c r="A375" s="18" t="s">
        <v>250</v>
      </c>
      <c r="B375" s="22">
        <v>2105500</v>
      </c>
      <c r="C375" s="1">
        <v>43925</v>
      </c>
      <c r="D375" s="19">
        <v>0.5625</v>
      </c>
      <c r="E375" s="22" t="s">
        <v>251</v>
      </c>
      <c r="F375" s="22">
        <v>2650</v>
      </c>
      <c r="G375" s="22" t="s">
        <v>252</v>
      </c>
      <c r="H375" s="22">
        <v>2.4900000000000002</v>
      </c>
      <c r="I375" s="22" t="s">
        <v>252</v>
      </c>
      <c r="J375" s="22">
        <v>0</v>
      </c>
      <c r="K375" s="22" t="s">
        <v>253</v>
      </c>
      <c r="L375" s="5">
        <f t="shared" si="10"/>
        <v>899.99999999999682</v>
      </c>
      <c r="M375" s="21">
        <f t="shared" si="11"/>
        <v>17840992.499999937</v>
      </c>
    </row>
    <row r="376" spans="1:13">
      <c r="A376" s="18" t="s">
        <v>250</v>
      </c>
      <c r="B376" s="22">
        <v>2105500</v>
      </c>
      <c r="C376" s="1">
        <v>43925</v>
      </c>
      <c r="D376" s="19">
        <v>0.57291666666666663</v>
      </c>
      <c r="E376" s="22" t="s">
        <v>251</v>
      </c>
      <c r="F376" s="22">
        <v>2650</v>
      </c>
      <c r="G376" s="22" t="s">
        <v>252</v>
      </c>
      <c r="H376" s="22">
        <v>2.4900000000000002</v>
      </c>
      <c r="I376" s="22" t="s">
        <v>252</v>
      </c>
      <c r="J376" s="22">
        <v>0</v>
      </c>
      <c r="K376" s="22" t="s">
        <v>253</v>
      </c>
      <c r="L376" s="5">
        <f t="shared" si="10"/>
        <v>900.00000000000637</v>
      </c>
      <c r="M376" s="21">
        <f t="shared" si="11"/>
        <v>17840992.500000127</v>
      </c>
    </row>
    <row r="377" spans="1:13">
      <c r="A377" s="18" t="s">
        <v>250</v>
      </c>
      <c r="B377" s="22">
        <v>2105500</v>
      </c>
      <c r="C377" s="1">
        <v>43925</v>
      </c>
      <c r="D377" s="19">
        <v>0.58333333333333337</v>
      </c>
      <c r="E377" s="22" t="s">
        <v>251</v>
      </c>
      <c r="F377" s="22">
        <v>2630</v>
      </c>
      <c r="G377" s="22" t="s">
        <v>252</v>
      </c>
      <c r="H377" s="22">
        <v>2.48</v>
      </c>
      <c r="I377" s="22" t="s">
        <v>252</v>
      </c>
      <c r="J377" s="22">
        <v>0</v>
      </c>
      <c r="K377" s="22" t="s">
        <v>253</v>
      </c>
      <c r="L377" s="5">
        <f t="shared" si="10"/>
        <v>899.99999999999682</v>
      </c>
      <c r="M377" s="21">
        <f t="shared" si="11"/>
        <v>17706343.499999937</v>
      </c>
    </row>
    <row r="378" spans="1:13">
      <c r="A378" s="18" t="s">
        <v>250</v>
      </c>
      <c r="B378" s="22">
        <v>2105500</v>
      </c>
      <c r="C378" s="1">
        <v>43925</v>
      </c>
      <c r="D378" s="19">
        <v>0.59375</v>
      </c>
      <c r="E378" s="22" t="s">
        <v>251</v>
      </c>
      <c r="F378" s="22">
        <v>2630</v>
      </c>
      <c r="G378" s="22" t="s">
        <v>252</v>
      </c>
      <c r="H378" s="22">
        <v>2.48</v>
      </c>
      <c r="I378" s="22" t="s">
        <v>252</v>
      </c>
      <c r="J378" s="22">
        <v>0</v>
      </c>
      <c r="K378" s="22" t="s">
        <v>253</v>
      </c>
      <c r="L378" s="5">
        <f t="shared" si="10"/>
        <v>899.99999999999682</v>
      </c>
      <c r="M378" s="21">
        <f t="shared" si="11"/>
        <v>17706343.499999937</v>
      </c>
    </row>
    <row r="379" spans="1:13">
      <c r="A379" s="18" t="s">
        <v>250</v>
      </c>
      <c r="B379" s="22">
        <v>2105500</v>
      </c>
      <c r="C379" s="1">
        <v>43925</v>
      </c>
      <c r="D379" s="19">
        <v>0.60416666666666663</v>
      </c>
      <c r="E379" s="22" t="s">
        <v>251</v>
      </c>
      <c r="F379" s="22">
        <v>2630</v>
      </c>
      <c r="G379" s="22" t="s">
        <v>252</v>
      </c>
      <c r="H379" s="22">
        <v>2.48</v>
      </c>
      <c r="I379" s="22" t="s">
        <v>252</v>
      </c>
      <c r="J379" s="22">
        <v>0</v>
      </c>
      <c r="K379" s="22" t="s">
        <v>253</v>
      </c>
      <c r="L379" s="5">
        <f t="shared" si="10"/>
        <v>900.00000000000637</v>
      </c>
      <c r="M379" s="21">
        <f t="shared" si="11"/>
        <v>17706343.500000127</v>
      </c>
    </row>
    <row r="380" spans="1:13">
      <c r="A380" s="18" t="s">
        <v>250</v>
      </c>
      <c r="B380" s="22">
        <v>2105500</v>
      </c>
      <c r="C380" s="1">
        <v>43925</v>
      </c>
      <c r="D380" s="19">
        <v>0.61458333333333337</v>
      </c>
      <c r="E380" s="22" t="s">
        <v>251</v>
      </c>
      <c r="F380" s="22">
        <v>2620</v>
      </c>
      <c r="G380" s="22" t="s">
        <v>252</v>
      </c>
      <c r="H380" s="22">
        <v>2.4700000000000002</v>
      </c>
      <c r="I380" s="22" t="s">
        <v>252</v>
      </c>
      <c r="J380" s="22">
        <v>0</v>
      </c>
      <c r="K380" s="22" t="s">
        <v>253</v>
      </c>
      <c r="L380" s="5">
        <f t="shared" si="10"/>
        <v>899.99999999999682</v>
      </c>
      <c r="M380" s="21">
        <f t="shared" si="11"/>
        <v>17639018.999999937</v>
      </c>
    </row>
    <row r="381" spans="1:13">
      <c r="A381" s="18" t="s">
        <v>250</v>
      </c>
      <c r="B381" s="22">
        <v>2105500</v>
      </c>
      <c r="C381" s="1">
        <v>43925</v>
      </c>
      <c r="D381" s="19">
        <v>0.625</v>
      </c>
      <c r="E381" s="22" t="s">
        <v>251</v>
      </c>
      <c r="F381" s="22">
        <v>2620</v>
      </c>
      <c r="G381" s="22" t="s">
        <v>252</v>
      </c>
      <c r="H381" s="22">
        <v>2.4700000000000002</v>
      </c>
      <c r="I381" s="22" t="s">
        <v>252</v>
      </c>
      <c r="J381" s="22">
        <v>0</v>
      </c>
      <c r="K381" s="22" t="s">
        <v>253</v>
      </c>
      <c r="L381" s="5">
        <f t="shared" si="10"/>
        <v>899.99999999999682</v>
      </c>
      <c r="M381" s="21">
        <f t="shared" si="11"/>
        <v>17639018.999999937</v>
      </c>
    </row>
    <row r="382" spans="1:13">
      <c r="A382" s="18" t="s">
        <v>250</v>
      </c>
      <c r="B382" s="22">
        <v>2105500</v>
      </c>
      <c r="C382" s="1">
        <v>43925</v>
      </c>
      <c r="D382" s="19">
        <v>0.63541666666666663</v>
      </c>
      <c r="E382" s="22" t="s">
        <v>251</v>
      </c>
      <c r="F382" s="22">
        <v>2620</v>
      </c>
      <c r="G382" s="22" t="s">
        <v>252</v>
      </c>
      <c r="H382" s="22">
        <v>2.4700000000000002</v>
      </c>
      <c r="I382" s="22" t="s">
        <v>252</v>
      </c>
      <c r="J382" s="22">
        <v>0</v>
      </c>
      <c r="K382" s="22" t="s">
        <v>253</v>
      </c>
      <c r="L382" s="5">
        <f t="shared" si="10"/>
        <v>900.00000000000637</v>
      </c>
      <c r="M382" s="21">
        <f t="shared" si="11"/>
        <v>17639019.000000127</v>
      </c>
    </row>
    <row r="383" spans="1:13">
      <c r="A383" s="18" t="s">
        <v>250</v>
      </c>
      <c r="B383" s="22">
        <v>2105500</v>
      </c>
      <c r="C383" s="1">
        <v>43925</v>
      </c>
      <c r="D383" s="19">
        <v>0.64583333333333337</v>
      </c>
      <c r="E383" s="22" t="s">
        <v>251</v>
      </c>
      <c r="F383" s="22">
        <v>2620</v>
      </c>
      <c r="G383" s="22" t="s">
        <v>252</v>
      </c>
      <c r="H383" s="22">
        <v>2.4700000000000002</v>
      </c>
      <c r="I383" s="22" t="s">
        <v>252</v>
      </c>
      <c r="J383" s="22">
        <v>0</v>
      </c>
      <c r="K383" s="22" t="s">
        <v>253</v>
      </c>
      <c r="L383" s="5">
        <f t="shared" si="10"/>
        <v>899.99999999999682</v>
      </c>
      <c r="M383" s="21">
        <f t="shared" si="11"/>
        <v>17639018.999999937</v>
      </c>
    </row>
    <row r="384" spans="1:13">
      <c r="A384" s="18" t="s">
        <v>250</v>
      </c>
      <c r="B384" s="22">
        <v>2105500</v>
      </c>
      <c r="C384" s="1">
        <v>43925</v>
      </c>
      <c r="D384" s="19">
        <v>0.65625</v>
      </c>
      <c r="E384" s="22" t="s">
        <v>251</v>
      </c>
      <c r="F384" s="22">
        <v>2600</v>
      </c>
      <c r="G384" s="22" t="s">
        <v>252</v>
      </c>
      <c r="H384" s="22">
        <v>2.46</v>
      </c>
      <c r="I384" s="22" t="s">
        <v>252</v>
      </c>
      <c r="J384" s="22">
        <v>0</v>
      </c>
      <c r="K384" s="22" t="s">
        <v>253</v>
      </c>
      <c r="L384" s="5">
        <f t="shared" si="10"/>
        <v>899.99999999999682</v>
      </c>
      <c r="M384" s="21">
        <f t="shared" si="11"/>
        <v>17504369.999999937</v>
      </c>
    </row>
    <row r="385" spans="1:13">
      <c r="A385" s="18" t="s">
        <v>250</v>
      </c>
      <c r="B385" s="22">
        <v>2105500</v>
      </c>
      <c r="C385" s="1">
        <v>43925</v>
      </c>
      <c r="D385" s="19">
        <v>0.66666666666666663</v>
      </c>
      <c r="E385" s="22" t="s">
        <v>251</v>
      </c>
      <c r="F385" s="22">
        <v>2600</v>
      </c>
      <c r="G385" s="22" t="s">
        <v>252</v>
      </c>
      <c r="H385" s="22">
        <v>2.46</v>
      </c>
      <c r="I385" s="22" t="s">
        <v>252</v>
      </c>
      <c r="J385" s="22">
        <v>0</v>
      </c>
      <c r="K385" s="22" t="s">
        <v>253</v>
      </c>
      <c r="L385" s="5">
        <f t="shared" si="10"/>
        <v>900.00000000000637</v>
      </c>
      <c r="M385" s="21">
        <f t="shared" si="11"/>
        <v>17504370.000000127</v>
      </c>
    </row>
    <row r="386" spans="1:13">
      <c r="A386" s="18" t="s">
        <v>250</v>
      </c>
      <c r="B386" s="22">
        <v>2105500</v>
      </c>
      <c r="C386" s="1">
        <v>43925</v>
      </c>
      <c r="D386" s="19">
        <v>0.67708333333333337</v>
      </c>
      <c r="E386" s="22" t="s">
        <v>251</v>
      </c>
      <c r="F386" s="22">
        <v>2620</v>
      </c>
      <c r="G386" s="22" t="s">
        <v>252</v>
      </c>
      <c r="H386" s="22">
        <v>2.4700000000000002</v>
      </c>
      <c r="I386" s="22" t="s">
        <v>252</v>
      </c>
      <c r="J386" s="22">
        <v>0</v>
      </c>
      <c r="K386" s="22" t="s">
        <v>253</v>
      </c>
      <c r="L386" s="5">
        <f t="shared" si="10"/>
        <v>899.99999999999682</v>
      </c>
      <c r="M386" s="21">
        <f t="shared" si="11"/>
        <v>17639018.999999937</v>
      </c>
    </row>
    <row r="387" spans="1:13">
      <c r="A387" s="18" t="s">
        <v>250</v>
      </c>
      <c r="B387" s="22">
        <v>2105500</v>
      </c>
      <c r="C387" s="1">
        <v>43925</v>
      </c>
      <c r="D387" s="19">
        <v>0.6875</v>
      </c>
      <c r="E387" s="22" t="s">
        <v>251</v>
      </c>
      <c r="F387" s="22">
        <v>2600</v>
      </c>
      <c r="G387" s="22" t="s">
        <v>252</v>
      </c>
      <c r="H387" s="22">
        <v>2.46</v>
      </c>
      <c r="I387" s="22" t="s">
        <v>252</v>
      </c>
      <c r="J387" s="22">
        <v>0</v>
      </c>
      <c r="K387" s="22" t="s">
        <v>253</v>
      </c>
      <c r="L387" s="5">
        <f t="shared" si="10"/>
        <v>899.99999999999682</v>
      </c>
      <c r="M387" s="21">
        <f t="shared" si="11"/>
        <v>17504369.999999937</v>
      </c>
    </row>
    <row r="388" spans="1:13">
      <c r="A388" s="18" t="s">
        <v>250</v>
      </c>
      <c r="B388" s="22">
        <v>2105500</v>
      </c>
      <c r="C388" s="1">
        <v>43925</v>
      </c>
      <c r="D388" s="19">
        <v>0.69791666666666663</v>
      </c>
      <c r="E388" s="22" t="s">
        <v>251</v>
      </c>
      <c r="F388" s="22">
        <v>2580</v>
      </c>
      <c r="G388" s="22" t="s">
        <v>252</v>
      </c>
      <c r="H388" s="22">
        <v>2.4500000000000002</v>
      </c>
      <c r="I388" s="22" t="s">
        <v>252</v>
      </c>
      <c r="J388" s="22">
        <v>0</v>
      </c>
      <c r="K388" s="22" t="s">
        <v>253</v>
      </c>
      <c r="L388" s="5">
        <f t="shared" si="10"/>
        <v>900.00000000000637</v>
      </c>
      <c r="M388" s="21">
        <f t="shared" si="11"/>
        <v>17369721.000000123</v>
      </c>
    </row>
    <row r="389" spans="1:13">
      <c r="A389" s="18" t="s">
        <v>250</v>
      </c>
      <c r="B389" s="22">
        <v>2105500</v>
      </c>
      <c r="C389" s="1">
        <v>43925</v>
      </c>
      <c r="D389" s="19">
        <v>0.70833333333333337</v>
      </c>
      <c r="E389" s="22" t="s">
        <v>251</v>
      </c>
      <c r="F389" s="22">
        <v>2580</v>
      </c>
      <c r="G389" s="22" t="s">
        <v>252</v>
      </c>
      <c r="H389" s="22">
        <v>2.4500000000000002</v>
      </c>
      <c r="I389" s="22" t="s">
        <v>252</v>
      </c>
      <c r="J389" s="22">
        <v>0</v>
      </c>
      <c r="K389" s="22" t="s">
        <v>253</v>
      </c>
      <c r="L389" s="5">
        <f t="shared" si="10"/>
        <v>899.99999999999682</v>
      </c>
      <c r="M389" s="21">
        <f t="shared" si="11"/>
        <v>17369720.999999937</v>
      </c>
    </row>
    <row r="390" spans="1:13">
      <c r="A390" s="18" t="s">
        <v>250</v>
      </c>
      <c r="B390" s="22">
        <v>2105500</v>
      </c>
      <c r="C390" s="1">
        <v>43925</v>
      </c>
      <c r="D390" s="19">
        <v>0.71875</v>
      </c>
      <c r="E390" s="22" t="s">
        <v>251</v>
      </c>
      <c r="F390" s="22">
        <v>2580</v>
      </c>
      <c r="G390" s="22" t="s">
        <v>252</v>
      </c>
      <c r="H390" s="22">
        <v>2.4500000000000002</v>
      </c>
      <c r="I390" s="22" t="s">
        <v>252</v>
      </c>
      <c r="J390" s="22">
        <v>0</v>
      </c>
      <c r="K390" s="22" t="s">
        <v>253</v>
      </c>
      <c r="L390" s="5">
        <f t="shared" si="10"/>
        <v>899.99999999999682</v>
      </c>
      <c r="M390" s="21">
        <f t="shared" si="11"/>
        <v>17369720.999999937</v>
      </c>
    </row>
    <row r="391" spans="1:13">
      <c r="A391" s="18" t="s">
        <v>250</v>
      </c>
      <c r="B391" s="22">
        <v>2105500</v>
      </c>
      <c r="C391" s="1">
        <v>43925</v>
      </c>
      <c r="D391" s="19">
        <v>0.72916666666666663</v>
      </c>
      <c r="E391" s="22" t="s">
        <v>251</v>
      </c>
      <c r="F391" s="22">
        <v>2570</v>
      </c>
      <c r="G391" s="22" t="s">
        <v>252</v>
      </c>
      <c r="H391" s="22">
        <v>2.44</v>
      </c>
      <c r="I391" s="22" t="s">
        <v>252</v>
      </c>
      <c r="J391" s="22">
        <v>0</v>
      </c>
      <c r="K391" s="22" t="s">
        <v>253</v>
      </c>
      <c r="L391" s="5">
        <f t="shared" si="10"/>
        <v>900.00000000000637</v>
      </c>
      <c r="M391" s="21">
        <f t="shared" si="11"/>
        <v>17302396.500000123</v>
      </c>
    </row>
    <row r="392" spans="1:13">
      <c r="A392" s="18" t="s">
        <v>250</v>
      </c>
      <c r="B392" s="22">
        <v>2105500</v>
      </c>
      <c r="C392" s="1">
        <v>43925</v>
      </c>
      <c r="D392" s="19">
        <v>0.73958333333333337</v>
      </c>
      <c r="E392" s="22" t="s">
        <v>251</v>
      </c>
      <c r="F392" s="22">
        <v>2570</v>
      </c>
      <c r="G392" s="22" t="s">
        <v>252</v>
      </c>
      <c r="H392" s="22">
        <v>2.44</v>
      </c>
      <c r="I392" s="22" t="s">
        <v>252</v>
      </c>
      <c r="J392" s="22">
        <v>0</v>
      </c>
      <c r="K392" s="22" t="s">
        <v>253</v>
      </c>
      <c r="L392" s="5">
        <f t="shared" si="10"/>
        <v>899.99999999999682</v>
      </c>
      <c r="M392" s="21">
        <f t="shared" si="11"/>
        <v>17302396.499999937</v>
      </c>
    </row>
    <row r="393" spans="1:13">
      <c r="A393" s="18" t="s">
        <v>250</v>
      </c>
      <c r="B393" s="22">
        <v>2105500</v>
      </c>
      <c r="C393" s="1">
        <v>43925</v>
      </c>
      <c r="D393" s="19">
        <v>0.75</v>
      </c>
      <c r="E393" s="22" t="s">
        <v>251</v>
      </c>
      <c r="F393" s="22">
        <v>2550</v>
      </c>
      <c r="G393" s="22" t="s">
        <v>252</v>
      </c>
      <c r="H393" s="22">
        <v>2.4300000000000002</v>
      </c>
      <c r="I393" s="22" t="s">
        <v>252</v>
      </c>
      <c r="J393" s="22">
        <v>0</v>
      </c>
      <c r="K393" s="22" t="s">
        <v>253</v>
      </c>
      <c r="L393" s="5">
        <f t="shared" si="10"/>
        <v>899.99999999999682</v>
      </c>
      <c r="M393" s="21">
        <f t="shared" si="11"/>
        <v>17167747.49999994</v>
      </c>
    </row>
    <row r="394" spans="1:13">
      <c r="A394" s="18" t="s">
        <v>250</v>
      </c>
      <c r="B394" s="22">
        <v>2105500</v>
      </c>
      <c r="C394" s="1">
        <v>43925</v>
      </c>
      <c r="D394" s="19">
        <v>0.76041666666666663</v>
      </c>
      <c r="E394" s="22" t="s">
        <v>251</v>
      </c>
      <c r="F394" s="22">
        <v>2550</v>
      </c>
      <c r="G394" s="22" t="s">
        <v>252</v>
      </c>
      <c r="H394" s="22">
        <v>2.4300000000000002</v>
      </c>
      <c r="I394" s="22" t="s">
        <v>252</v>
      </c>
      <c r="J394" s="22">
        <v>0</v>
      </c>
      <c r="K394" s="22" t="s">
        <v>253</v>
      </c>
      <c r="L394" s="5">
        <f t="shared" si="10"/>
        <v>900.00000000000637</v>
      </c>
      <c r="M394" s="21">
        <f t="shared" si="11"/>
        <v>17167747.500000123</v>
      </c>
    </row>
    <row r="395" spans="1:13">
      <c r="A395" s="18" t="s">
        <v>250</v>
      </c>
      <c r="B395" s="22">
        <v>2105500</v>
      </c>
      <c r="C395" s="1">
        <v>43925</v>
      </c>
      <c r="D395" s="19">
        <v>0.77083333333333337</v>
      </c>
      <c r="E395" s="22" t="s">
        <v>251</v>
      </c>
      <c r="F395" s="22">
        <v>2550</v>
      </c>
      <c r="G395" s="22" t="s">
        <v>252</v>
      </c>
      <c r="H395" s="22">
        <v>2.4300000000000002</v>
      </c>
      <c r="I395" s="22" t="s">
        <v>252</v>
      </c>
      <c r="J395" s="22">
        <v>0</v>
      </c>
      <c r="K395" s="22" t="s">
        <v>253</v>
      </c>
      <c r="L395" s="5">
        <f t="shared" si="10"/>
        <v>899.99999999999682</v>
      </c>
      <c r="M395" s="21">
        <f t="shared" si="11"/>
        <v>17167747.49999994</v>
      </c>
    </row>
    <row r="396" spans="1:13">
      <c r="A396" s="18" t="s">
        <v>250</v>
      </c>
      <c r="B396" s="22">
        <v>2105500</v>
      </c>
      <c r="C396" s="1">
        <v>43925</v>
      </c>
      <c r="D396" s="19">
        <v>0.78125</v>
      </c>
      <c r="E396" s="22" t="s">
        <v>251</v>
      </c>
      <c r="F396" s="22">
        <v>2530</v>
      </c>
      <c r="G396" s="22" t="s">
        <v>252</v>
      </c>
      <c r="H396" s="22">
        <v>2.42</v>
      </c>
      <c r="I396" s="22" t="s">
        <v>252</v>
      </c>
      <c r="J396" s="22">
        <v>0</v>
      </c>
      <c r="K396" s="22" t="s">
        <v>253</v>
      </c>
      <c r="L396" s="5">
        <f t="shared" si="10"/>
        <v>899.99999999999682</v>
      </c>
      <c r="M396" s="21">
        <f t="shared" si="11"/>
        <v>17033098.49999994</v>
      </c>
    </row>
    <row r="397" spans="1:13">
      <c r="A397" s="18" t="s">
        <v>250</v>
      </c>
      <c r="B397" s="22">
        <v>2105500</v>
      </c>
      <c r="C397" s="1">
        <v>43925</v>
      </c>
      <c r="D397" s="19">
        <v>0.79166666666666663</v>
      </c>
      <c r="E397" s="22" t="s">
        <v>251</v>
      </c>
      <c r="F397" s="22">
        <v>2530</v>
      </c>
      <c r="G397" s="22" t="s">
        <v>252</v>
      </c>
      <c r="H397" s="22">
        <v>2.42</v>
      </c>
      <c r="I397" s="22" t="s">
        <v>252</v>
      </c>
      <c r="J397" s="22">
        <v>0</v>
      </c>
      <c r="K397" s="22" t="s">
        <v>253</v>
      </c>
      <c r="L397" s="5">
        <f t="shared" si="10"/>
        <v>900.00000000000637</v>
      </c>
      <c r="M397" s="21">
        <f t="shared" si="11"/>
        <v>17033098.500000123</v>
      </c>
    </row>
    <row r="398" spans="1:13">
      <c r="A398" s="18" t="s">
        <v>250</v>
      </c>
      <c r="B398" s="22">
        <v>2105500</v>
      </c>
      <c r="C398" s="1">
        <v>43925</v>
      </c>
      <c r="D398" s="19">
        <v>0.80208333333333337</v>
      </c>
      <c r="E398" s="22" t="s">
        <v>251</v>
      </c>
      <c r="F398" s="22">
        <v>2510</v>
      </c>
      <c r="G398" s="22" t="s">
        <v>252</v>
      </c>
      <c r="H398" s="22">
        <v>2.41</v>
      </c>
      <c r="I398" s="22" t="s">
        <v>252</v>
      </c>
      <c r="J398" s="22">
        <v>0</v>
      </c>
      <c r="K398" s="22" t="s">
        <v>253</v>
      </c>
      <c r="L398" s="5">
        <f t="shared" si="10"/>
        <v>899.99999999999682</v>
      </c>
      <c r="M398" s="21">
        <f t="shared" si="11"/>
        <v>16898449.49999994</v>
      </c>
    </row>
    <row r="399" spans="1:13">
      <c r="A399" s="18" t="s">
        <v>250</v>
      </c>
      <c r="B399" s="22">
        <v>2105500</v>
      </c>
      <c r="C399" s="1">
        <v>43925</v>
      </c>
      <c r="D399" s="19">
        <v>0.8125</v>
      </c>
      <c r="E399" s="22" t="s">
        <v>251</v>
      </c>
      <c r="F399" s="22">
        <v>2510</v>
      </c>
      <c r="G399" s="22" t="s">
        <v>252</v>
      </c>
      <c r="H399" s="22">
        <v>2.41</v>
      </c>
      <c r="I399" s="22" t="s">
        <v>252</v>
      </c>
      <c r="J399" s="22">
        <v>0</v>
      </c>
      <c r="K399" s="22" t="s">
        <v>253</v>
      </c>
      <c r="L399" s="5">
        <f t="shared" si="10"/>
        <v>899.99999999999682</v>
      </c>
      <c r="M399" s="21">
        <f t="shared" si="11"/>
        <v>16898449.49999994</v>
      </c>
    </row>
    <row r="400" spans="1:13">
      <c r="A400" s="18" t="s">
        <v>250</v>
      </c>
      <c r="B400" s="22">
        <v>2105500</v>
      </c>
      <c r="C400" s="1">
        <v>43925</v>
      </c>
      <c r="D400" s="19">
        <v>0.82291666666666663</v>
      </c>
      <c r="E400" s="22" t="s">
        <v>251</v>
      </c>
      <c r="F400" s="22">
        <v>2510</v>
      </c>
      <c r="G400" s="22" t="s">
        <v>252</v>
      </c>
      <c r="H400" s="22">
        <v>2.41</v>
      </c>
      <c r="I400" s="22" t="s">
        <v>252</v>
      </c>
      <c r="J400" s="22">
        <v>0</v>
      </c>
      <c r="K400" s="22" t="s">
        <v>253</v>
      </c>
      <c r="L400" s="5">
        <f t="shared" si="10"/>
        <v>900.00000000000637</v>
      </c>
      <c r="M400" s="21">
        <f t="shared" si="11"/>
        <v>16898449.500000119</v>
      </c>
    </row>
    <row r="401" spans="1:13">
      <c r="A401" s="18" t="s">
        <v>250</v>
      </c>
      <c r="B401" s="22">
        <v>2105500</v>
      </c>
      <c r="C401" s="1">
        <v>43925</v>
      </c>
      <c r="D401" s="19">
        <v>0.83333333333333337</v>
      </c>
      <c r="E401" s="22" t="s">
        <v>251</v>
      </c>
      <c r="F401" s="22">
        <v>2500</v>
      </c>
      <c r="G401" s="22" t="s">
        <v>252</v>
      </c>
      <c r="H401" s="22">
        <v>2.4</v>
      </c>
      <c r="I401" s="22" t="s">
        <v>252</v>
      </c>
      <c r="J401" s="22">
        <v>0</v>
      </c>
      <c r="K401" s="22" t="s">
        <v>253</v>
      </c>
      <c r="L401" s="5">
        <f t="shared" si="10"/>
        <v>899.99999999999682</v>
      </c>
      <c r="M401" s="21">
        <f t="shared" si="11"/>
        <v>16831124.99999994</v>
      </c>
    </row>
    <row r="402" spans="1:13">
      <c r="A402" s="18" t="s">
        <v>250</v>
      </c>
      <c r="B402" s="22">
        <v>2105500</v>
      </c>
      <c r="C402" s="1">
        <v>43925</v>
      </c>
      <c r="D402" s="19">
        <v>0.84375</v>
      </c>
      <c r="E402" s="22" t="s">
        <v>251</v>
      </c>
      <c r="F402" s="22">
        <v>2500</v>
      </c>
      <c r="G402" s="22" t="s">
        <v>252</v>
      </c>
      <c r="H402" s="22">
        <v>2.4</v>
      </c>
      <c r="I402" s="22" t="s">
        <v>252</v>
      </c>
      <c r="J402" s="22">
        <v>0</v>
      </c>
      <c r="K402" s="22" t="s">
        <v>253</v>
      </c>
      <c r="L402" s="5">
        <f t="shared" si="10"/>
        <v>899.99999999999682</v>
      </c>
      <c r="M402" s="21">
        <f t="shared" si="11"/>
        <v>16831124.99999994</v>
      </c>
    </row>
    <row r="403" spans="1:13">
      <c r="A403" s="18" t="s">
        <v>250</v>
      </c>
      <c r="B403" s="22">
        <v>2105500</v>
      </c>
      <c r="C403" s="1">
        <v>43925</v>
      </c>
      <c r="D403" s="19">
        <v>0.85416666666666663</v>
      </c>
      <c r="E403" s="22" t="s">
        <v>251</v>
      </c>
      <c r="F403" s="22">
        <v>2500</v>
      </c>
      <c r="G403" s="22" t="s">
        <v>252</v>
      </c>
      <c r="H403" s="22">
        <v>2.4</v>
      </c>
      <c r="I403" s="22" t="s">
        <v>252</v>
      </c>
      <c r="J403" s="22">
        <v>0</v>
      </c>
      <c r="K403" s="22" t="s">
        <v>253</v>
      </c>
      <c r="L403" s="5">
        <f t="shared" si="10"/>
        <v>900.00000000000637</v>
      </c>
      <c r="M403" s="21">
        <f t="shared" si="11"/>
        <v>16831125.000000119</v>
      </c>
    </row>
    <row r="404" spans="1:13">
      <c r="A404" s="18" t="s">
        <v>250</v>
      </c>
      <c r="B404" s="22">
        <v>2105500</v>
      </c>
      <c r="C404" s="1">
        <v>43925</v>
      </c>
      <c r="D404" s="19">
        <v>0.86458333333333337</v>
      </c>
      <c r="E404" s="22" t="s">
        <v>251</v>
      </c>
      <c r="F404" s="22">
        <v>2500</v>
      </c>
      <c r="G404" s="22" t="s">
        <v>252</v>
      </c>
      <c r="H404" s="22">
        <v>2.4</v>
      </c>
      <c r="I404" s="22" t="s">
        <v>252</v>
      </c>
      <c r="J404" s="22">
        <v>0</v>
      </c>
      <c r="K404" s="22" t="s">
        <v>253</v>
      </c>
      <c r="L404" s="5">
        <f t="shared" si="10"/>
        <v>899.99999999999682</v>
      </c>
      <c r="M404" s="21">
        <f t="shared" si="11"/>
        <v>16831124.99999994</v>
      </c>
    </row>
    <row r="405" spans="1:13">
      <c r="A405" s="18" t="s">
        <v>250</v>
      </c>
      <c r="B405" s="22">
        <v>2105500</v>
      </c>
      <c r="C405" s="1">
        <v>43925</v>
      </c>
      <c r="D405" s="19">
        <v>0.875</v>
      </c>
      <c r="E405" s="22" t="s">
        <v>251</v>
      </c>
      <c r="F405" s="22">
        <v>2500</v>
      </c>
      <c r="G405" s="22" t="s">
        <v>252</v>
      </c>
      <c r="H405" s="22">
        <v>2.4</v>
      </c>
      <c r="I405" s="22" t="s">
        <v>252</v>
      </c>
      <c r="J405" s="22">
        <v>0</v>
      </c>
      <c r="K405" s="22" t="s">
        <v>253</v>
      </c>
      <c r="L405" s="5">
        <f t="shared" si="10"/>
        <v>899.99999999999682</v>
      </c>
      <c r="M405" s="21">
        <f t="shared" si="11"/>
        <v>16831124.99999994</v>
      </c>
    </row>
    <row r="406" spans="1:13">
      <c r="A406" s="18" t="s">
        <v>250</v>
      </c>
      <c r="B406" s="22">
        <v>2105500</v>
      </c>
      <c r="C406" s="1">
        <v>43925</v>
      </c>
      <c r="D406" s="19">
        <v>0.88541666666666663</v>
      </c>
      <c r="E406" s="22" t="s">
        <v>251</v>
      </c>
      <c r="F406" s="22">
        <v>2480</v>
      </c>
      <c r="G406" s="22" t="s">
        <v>252</v>
      </c>
      <c r="H406" s="22">
        <v>2.39</v>
      </c>
      <c r="I406" s="22" t="s">
        <v>252</v>
      </c>
      <c r="J406" s="22">
        <v>0</v>
      </c>
      <c r="K406" s="22" t="s">
        <v>253</v>
      </c>
      <c r="L406" s="5">
        <f t="shared" si="10"/>
        <v>900.00000000000637</v>
      </c>
      <c r="M406" s="21">
        <f t="shared" si="11"/>
        <v>16696476.000000119</v>
      </c>
    </row>
    <row r="407" spans="1:13">
      <c r="A407" s="18" t="s">
        <v>250</v>
      </c>
      <c r="B407" s="22">
        <v>2105500</v>
      </c>
      <c r="C407" s="1">
        <v>43925</v>
      </c>
      <c r="D407" s="19">
        <v>0.89583333333333337</v>
      </c>
      <c r="E407" s="22" t="s">
        <v>251</v>
      </c>
      <c r="F407" s="22">
        <v>2480</v>
      </c>
      <c r="G407" s="22" t="s">
        <v>252</v>
      </c>
      <c r="H407" s="22">
        <v>2.39</v>
      </c>
      <c r="I407" s="22" t="s">
        <v>252</v>
      </c>
      <c r="J407" s="22">
        <v>0</v>
      </c>
      <c r="K407" s="22" t="s">
        <v>253</v>
      </c>
      <c r="L407" s="5">
        <f t="shared" si="10"/>
        <v>899.99999999999682</v>
      </c>
      <c r="M407" s="21">
        <f t="shared" si="11"/>
        <v>16696475.99999994</v>
      </c>
    </row>
    <row r="408" spans="1:13">
      <c r="A408" s="18" t="s">
        <v>250</v>
      </c>
      <c r="B408" s="22">
        <v>2105500</v>
      </c>
      <c r="C408" s="1">
        <v>43925</v>
      </c>
      <c r="D408" s="19">
        <v>0.90625</v>
      </c>
      <c r="E408" s="22" t="s">
        <v>251</v>
      </c>
      <c r="F408" s="22">
        <v>2460</v>
      </c>
      <c r="G408" s="22" t="s">
        <v>252</v>
      </c>
      <c r="H408" s="22">
        <v>2.38</v>
      </c>
      <c r="I408" s="22" t="s">
        <v>252</v>
      </c>
      <c r="J408" s="22">
        <v>0</v>
      </c>
      <c r="K408" s="22" t="s">
        <v>253</v>
      </c>
      <c r="L408" s="5">
        <f t="shared" si="10"/>
        <v>899.99999999999682</v>
      </c>
      <c r="M408" s="21">
        <f t="shared" si="11"/>
        <v>16561826.99999994</v>
      </c>
    </row>
    <row r="409" spans="1:13">
      <c r="A409" s="18" t="s">
        <v>250</v>
      </c>
      <c r="B409" s="22">
        <v>2105500</v>
      </c>
      <c r="C409" s="1">
        <v>43925</v>
      </c>
      <c r="D409" s="19">
        <v>0.91666666666666663</v>
      </c>
      <c r="E409" s="22" t="s">
        <v>251</v>
      </c>
      <c r="F409" s="22">
        <v>2460</v>
      </c>
      <c r="G409" s="22" t="s">
        <v>252</v>
      </c>
      <c r="H409" s="22">
        <v>2.38</v>
      </c>
      <c r="I409" s="22" t="s">
        <v>252</v>
      </c>
      <c r="J409" s="22">
        <v>0</v>
      </c>
      <c r="K409" s="22" t="s">
        <v>253</v>
      </c>
      <c r="L409" s="5">
        <f t="shared" si="10"/>
        <v>900.00000000000637</v>
      </c>
      <c r="M409" s="21">
        <f t="shared" si="11"/>
        <v>16561827.000000119</v>
      </c>
    </row>
    <row r="410" spans="1:13">
      <c r="A410" s="18" t="s">
        <v>250</v>
      </c>
      <c r="B410" s="22">
        <v>2105500</v>
      </c>
      <c r="C410" s="1">
        <v>43925</v>
      </c>
      <c r="D410" s="19">
        <v>0.92708333333333337</v>
      </c>
      <c r="E410" s="22" t="s">
        <v>251</v>
      </c>
      <c r="F410" s="22">
        <v>2460</v>
      </c>
      <c r="G410" s="22" t="s">
        <v>252</v>
      </c>
      <c r="H410" s="22">
        <v>2.38</v>
      </c>
      <c r="I410" s="22" t="s">
        <v>252</v>
      </c>
      <c r="J410" s="22">
        <v>0</v>
      </c>
      <c r="K410" s="22" t="s">
        <v>253</v>
      </c>
      <c r="L410" s="5">
        <f t="shared" si="10"/>
        <v>899.99999999999682</v>
      </c>
      <c r="M410" s="21">
        <f t="shared" si="11"/>
        <v>16561826.99999994</v>
      </c>
    </row>
    <row r="411" spans="1:13">
      <c r="A411" s="18" t="s">
        <v>250</v>
      </c>
      <c r="B411" s="22">
        <v>2105500</v>
      </c>
      <c r="C411" s="1">
        <v>43925</v>
      </c>
      <c r="D411" s="19">
        <v>0.9375</v>
      </c>
      <c r="E411" s="22" t="s">
        <v>251</v>
      </c>
      <c r="F411" s="22">
        <v>2460</v>
      </c>
      <c r="G411" s="22" t="s">
        <v>252</v>
      </c>
      <c r="H411" s="22">
        <v>2.38</v>
      </c>
      <c r="I411" s="22" t="s">
        <v>252</v>
      </c>
      <c r="J411" s="22">
        <v>0</v>
      </c>
      <c r="K411" s="22" t="s">
        <v>253</v>
      </c>
      <c r="L411" s="5">
        <f t="shared" si="10"/>
        <v>899.99999999999682</v>
      </c>
      <c r="M411" s="21">
        <f t="shared" si="11"/>
        <v>16561826.99999994</v>
      </c>
    </row>
    <row r="412" spans="1:13">
      <c r="A412" s="18" t="s">
        <v>250</v>
      </c>
      <c r="B412" s="22">
        <v>2105500</v>
      </c>
      <c r="C412" s="1">
        <v>43925</v>
      </c>
      <c r="D412" s="19">
        <v>0.94791666666666663</v>
      </c>
      <c r="E412" s="22" t="s">
        <v>251</v>
      </c>
      <c r="F412" s="22">
        <v>2460</v>
      </c>
      <c r="G412" s="22" t="s">
        <v>252</v>
      </c>
      <c r="H412" s="22">
        <v>2.38</v>
      </c>
      <c r="I412" s="22" t="s">
        <v>252</v>
      </c>
      <c r="J412" s="22">
        <v>0</v>
      </c>
      <c r="K412" s="22" t="s">
        <v>253</v>
      </c>
      <c r="L412" s="5">
        <f t="shared" si="10"/>
        <v>900.00000000000637</v>
      </c>
      <c r="M412" s="21">
        <f t="shared" si="11"/>
        <v>16561827.000000119</v>
      </c>
    </row>
    <row r="413" spans="1:13">
      <c r="A413" s="18" t="s">
        <v>250</v>
      </c>
      <c r="B413" s="22">
        <v>2105500</v>
      </c>
      <c r="C413" s="1">
        <v>43925</v>
      </c>
      <c r="D413" s="19">
        <v>0.95833333333333337</v>
      </c>
      <c r="E413" s="22" t="s">
        <v>251</v>
      </c>
      <c r="F413" s="22">
        <v>2450</v>
      </c>
      <c r="G413" s="22" t="s">
        <v>252</v>
      </c>
      <c r="H413" s="22">
        <v>2.37</v>
      </c>
      <c r="I413" s="22" t="s">
        <v>252</v>
      </c>
      <c r="J413" s="22">
        <v>0</v>
      </c>
      <c r="K413" s="22" t="s">
        <v>253</v>
      </c>
      <c r="L413" s="5">
        <f t="shared" si="10"/>
        <v>899.99999999999682</v>
      </c>
      <c r="M413" s="21">
        <f t="shared" si="11"/>
        <v>16494502.49999994</v>
      </c>
    </row>
    <row r="414" spans="1:13">
      <c r="A414" s="18" t="s">
        <v>250</v>
      </c>
      <c r="B414" s="22">
        <v>2105500</v>
      </c>
      <c r="C414" s="1">
        <v>43925</v>
      </c>
      <c r="D414" s="19">
        <v>0.96875</v>
      </c>
      <c r="E414" s="22" t="s">
        <v>251</v>
      </c>
      <c r="F414" s="22">
        <v>2450</v>
      </c>
      <c r="G414" s="22" t="s">
        <v>252</v>
      </c>
      <c r="H414" s="22">
        <v>2.37</v>
      </c>
      <c r="I414" s="22" t="s">
        <v>252</v>
      </c>
      <c r="J414" s="22">
        <v>0</v>
      </c>
      <c r="K414" s="22" t="s">
        <v>253</v>
      </c>
      <c r="L414" s="5">
        <f t="shared" si="10"/>
        <v>899.99999999999682</v>
      </c>
      <c r="M414" s="21">
        <f t="shared" si="11"/>
        <v>16494502.49999994</v>
      </c>
    </row>
    <row r="415" spans="1:13">
      <c r="A415" s="18" t="s">
        <v>250</v>
      </c>
      <c r="B415" s="22">
        <v>2105500</v>
      </c>
      <c r="C415" s="1">
        <v>43925</v>
      </c>
      <c r="D415" s="19">
        <v>0.97916666666666663</v>
      </c>
      <c r="E415" s="22" t="s">
        <v>251</v>
      </c>
      <c r="F415" s="22">
        <v>2450</v>
      </c>
      <c r="G415" s="22" t="s">
        <v>252</v>
      </c>
      <c r="H415" s="22">
        <v>2.37</v>
      </c>
      <c r="I415" s="22" t="s">
        <v>252</v>
      </c>
      <c r="J415" s="22">
        <v>0</v>
      </c>
      <c r="K415" s="22" t="s">
        <v>253</v>
      </c>
      <c r="L415" s="5">
        <f t="shared" si="10"/>
        <v>900.00000000000637</v>
      </c>
      <c r="M415" s="21">
        <f t="shared" si="11"/>
        <v>16494502.500000115</v>
      </c>
    </row>
    <row r="416" spans="1:13">
      <c r="A416" s="18" t="s">
        <v>250</v>
      </c>
      <c r="B416" s="22">
        <v>2105500</v>
      </c>
      <c r="C416" s="1">
        <v>43925</v>
      </c>
      <c r="D416" s="19">
        <v>0.98958333333333337</v>
      </c>
      <c r="E416" s="22" t="s">
        <v>251</v>
      </c>
      <c r="F416" s="22">
        <v>2450</v>
      </c>
      <c r="G416" s="22" t="s">
        <v>252</v>
      </c>
      <c r="H416" s="22">
        <v>2.37</v>
      </c>
      <c r="I416" s="22" t="s">
        <v>252</v>
      </c>
      <c r="J416" s="22">
        <v>0</v>
      </c>
      <c r="K416" s="22" t="s">
        <v>253</v>
      </c>
      <c r="L416" s="5">
        <v>900</v>
      </c>
      <c r="M416" s="21">
        <f t="shared" si="11"/>
        <v>16494502.5</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43E1-F845-4D2B-8AF2-DBE652E34F7A}">
  <sheetPr>
    <tabColor theme="3" tint="0.59999389629810485"/>
  </sheetPr>
  <dimension ref="A1:G54"/>
  <sheetViews>
    <sheetView zoomScaleNormal="100" zoomScaleSheetLayoutView="115" workbookViewId="0">
      <selection activeCell="I16" sqref="I16"/>
    </sheetView>
  </sheetViews>
  <sheetFormatPr defaultColWidth="8.7109375" defaultRowHeight="12.75"/>
  <cols>
    <col min="1" max="2" width="15.5703125" style="25" customWidth="1"/>
    <col min="3" max="3" width="12.85546875" style="25" customWidth="1"/>
    <col min="4" max="5" width="15.5703125" style="25" customWidth="1"/>
    <col min="6" max="6" width="15.5703125" style="43" customWidth="1"/>
    <col min="7" max="7" width="15.5703125" style="25" customWidth="1"/>
    <col min="8" max="16384" width="8.7109375" style="25"/>
  </cols>
  <sheetData>
    <row r="1" spans="1:7" ht="54">
      <c r="A1" s="389" t="s">
        <v>254</v>
      </c>
      <c r="B1" s="391" t="s">
        <v>118</v>
      </c>
      <c r="C1" s="391" t="s">
        <v>119</v>
      </c>
      <c r="D1" s="391" t="s">
        <v>119</v>
      </c>
      <c r="E1" s="391" t="s">
        <v>120</v>
      </c>
      <c r="F1" s="392" t="s">
        <v>121</v>
      </c>
      <c r="G1" s="391" t="s">
        <v>122</v>
      </c>
    </row>
    <row r="2" spans="1:7" ht="15.75">
      <c r="A2" s="389"/>
      <c r="B2" s="391" t="s">
        <v>124</v>
      </c>
      <c r="C2" s="391" t="s">
        <v>125</v>
      </c>
      <c r="D2" s="391" t="s">
        <v>124</v>
      </c>
      <c r="E2" s="391" t="s">
        <v>126</v>
      </c>
      <c r="F2" s="392" t="s">
        <v>127</v>
      </c>
      <c r="G2" s="391" t="s">
        <v>128</v>
      </c>
    </row>
    <row r="3" spans="1:7" ht="13.5" customHeight="1">
      <c r="A3" s="133" t="s">
        <v>255</v>
      </c>
      <c r="B3" s="133">
        <v>0</v>
      </c>
      <c r="C3" s="133">
        <v>0</v>
      </c>
      <c r="D3" s="394">
        <f>C3/12</f>
        <v>0</v>
      </c>
      <c r="E3" s="210" t="s">
        <v>130</v>
      </c>
      <c r="F3" s="133">
        <v>0</v>
      </c>
      <c r="G3" s="210" t="s">
        <v>130</v>
      </c>
    </row>
    <row r="4" spans="1:7" ht="13.5" customHeight="1">
      <c r="A4" s="133" t="s">
        <v>256</v>
      </c>
      <c r="B4" s="133">
        <v>5</v>
      </c>
      <c r="C4" s="133">
        <v>14</v>
      </c>
      <c r="D4" s="395">
        <f>C4/12</f>
        <v>1.1666666666666667</v>
      </c>
      <c r="E4" s="395">
        <f>B4*D4/2</f>
        <v>2.916666666666667</v>
      </c>
      <c r="F4" s="133">
        <v>0.14000000000000001</v>
      </c>
      <c r="G4" s="395">
        <f>F5*E4</f>
        <v>0.70000000000000007</v>
      </c>
    </row>
    <row r="5" spans="1:7" ht="13.5" customHeight="1">
      <c r="A5" s="133" t="s">
        <v>257</v>
      </c>
      <c r="B5" s="133">
        <v>5</v>
      </c>
      <c r="C5" s="133">
        <v>7</v>
      </c>
      <c r="D5" s="395">
        <f t="shared" ref="D5:D22" si="0">C5/12</f>
        <v>0.58333333333333337</v>
      </c>
      <c r="E5" s="210" t="s">
        <v>130</v>
      </c>
      <c r="F5" s="133">
        <v>0.24</v>
      </c>
      <c r="G5" s="210" t="s">
        <v>130</v>
      </c>
    </row>
    <row r="6" spans="1:7" ht="13.5" customHeight="1">
      <c r="A6" s="133" t="s">
        <v>258</v>
      </c>
      <c r="B6" s="133">
        <v>5</v>
      </c>
      <c r="C6" s="133">
        <v>0</v>
      </c>
      <c r="D6" s="395">
        <f t="shared" si="0"/>
        <v>0</v>
      </c>
      <c r="E6" s="210" t="s">
        <v>130</v>
      </c>
      <c r="F6" s="133">
        <v>0.27</v>
      </c>
      <c r="G6" s="210" t="s">
        <v>130</v>
      </c>
    </row>
    <row r="7" spans="1:7" ht="13.5" customHeight="1">
      <c r="A7" s="133" t="s">
        <v>131</v>
      </c>
      <c r="B7" s="133">
        <v>10</v>
      </c>
      <c r="C7" s="133">
        <v>40</v>
      </c>
      <c r="D7" s="395">
        <f t="shared" si="0"/>
        <v>3.3333333333333335</v>
      </c>
      <c r="E7" s="394">
        <f>((B7-B6)*((D7+D4)/2))</f>
        <v>11.25</v>
      </c>
      <c r="F7" s="133">
        <v>0.03</v>
      </c>
      <c r="G7" s="395">
        <f>F8*E7</f>
        <v>3.4874999999999998</v>
      </c>
    </row>
    <row r="8" spans="1:7" ht="13.5" customHeight="1">
      <c r="A8" s="133" t="s">
        <v>133</v>
      </c>
      <c r="B8" s="133">
        <v>10</v>
      </c>
      <c r="C8" s="133">
        <v>20</v>
      </c>
      <c r="D8" s="395">
        <f t="shared" si="0"/>
        <v>1.6666666666666667</v>
      </c>
      <c r="E8" s="394" t="s">
        <v>130</v>
      </c>
      <c r="F8" s="133">
        <v>0.31</v>
      </c>
      <c r="G8" s="210" t="s">
        <v>130</v>
      </c>
    </row>
    <row r="9" spans="1:7" ht="13.5" customHeight="1">
      <c r="A9" s="133" t="s">
        <v>134</v>
      </c>
      <c r="B9" s="133">
        <v>10</v>
      </c>
      <c r="C9" s="133">
        <v>0</v>
      </c>
      <c r="D9" s="395">
        <f t="shared" si="0"/>
        <v>0</v>
      </c>
      <c r="E9" s="394" t="s">
        <v>130</v>
      </c>
      <c r="F9" s="133">
        <v>0.33</v>
      </c>
      <c r="G9" s="210" t="s">
        <v>130</v>
      </c>
    </row>
    <row r="10" spans="1:7" ht="13.5" customHeight="1">
      <c r="A10" s="133" t="s">
        <v>131</v>
      </c>
      <c r="B10" s="133">
        <v>15</v>
      </c>
      <c r="C10" s="133">
        <v>25</v>
      </c>
      <c r="D10" s="395">
        <f t="shared" si="0"/>
        <v>2.0833333333333335</v>
      </c>
      <c r="E10" s="394">
        <f>((B10-B9)*((D10+D7)/2))</f>
        <v>13.541666666666668</v>
      </c>
      <c r="F10" s="133">
        <v>0.03</v>
      </c>
      <c r="G10" s="395">
        <f>F11*E10</f>
        <v>4.875</v>
      </c>
    </row>
    <row r="11" spans="1:7" ht="13.5" customHeight="1">
      <c r="A11" s="133" t="s">
        <v>133</v>
      </c>
      <c r="B11" s="133">
        <v>15</v>
      </c>
      <c r="C11" s="133">
        <v>12.5</v>
      </c>
      <c r="D11" s="395">
        <f t="shared" si="0"/>
        <v>1.0416666666666667</v>
      </c>
      <c r="E11" s="210" t="s">
        <v>130</v>
      </c>
      <c r="F11" s="133">
        <v>0.36</v>
      </c>
      <c r="G11" s="210" t="s">
        <v>130</v>
      </c>
    </row>
    <row r="12" spans="1:7" ht="13.5" customHeight="1">
      <c r="A12" s="133" t="s">
        <v>134</v>
      </c>
      <c r="B12" s="133">
        <v>15</v>
      </c>
      <c r="C12" s="133">
        <v>0</v>
      </c>
      <c r="D12" s="395">
        <f t="shared" si="0"/>
        <v>0</v>
      </c>
      <c r="E12" s="210" t="s">
        <v>130</v>
      </c>
      <c r="F12" s="133">
        <v>0.46</v>
      </c>
      <c r="G12" s="210" t="s">
        <v>130</v>
      </c>
    </row>
    <row r="13" spans="1:7" ht="13.5" customHeight="1">
      <c r="A13" s="133" t="s">
        <v>131</v>
      </c>
      <c r="B13" s="133">
        <v>20</v>
      </c>
      <c r="C13" s="133">
        <v>21</v>
      </c>
      <c r="D13" s="395">
        <f>C13/12</f>
        <v>1.75</v>
      </c>
      <c r="E13" s="395">
        <f>(B16-B13)*D13/2</f>
        <v>4.375</v>
      </c>
      <c r="F13" s="133">
        <v>0.03</v>
      </c>
      <c r="G13" s="395">
        <f>F14*E13</f>
        <v>1.79375</v>
      </c>
    </row>
    <row r="14" spans="1:7" ht="13.5" customHeight="1">
      <c r="A14" s="133" t="s">
        <v>133</v>
      </c>
      <c r="B14" s="133">
        <v>20</v>
      </c>
      <c r="C14" s="133">
        <v>10.5</v>
      </c>
      <c r="D14" s="395">
        <f t="shared" si="0"/>
        <v>0.875</v>
      </c>
      <c r="E14" s="210" t="s">
        <v>130</v>
      </c>
      <c r="F14" s="133">
        <v>0.41</v>
      </c>
      <c r="G14" s="210" t="s">
        <v>130</v>
      </c>
    </row>
    <row r="15" spans="1:7" ht="13.5" customHeight="1">
      <c r="A15" s="133" t="s">
        <v>134</v>
      </c>
      <c r="B15" s="133">
        <v>20</v>
      </c>
      <c r="C15" s="133">
        <v>0</v>
      </c>
      <c r="D15" s="395">
        <f t="shared" si="0"/>
        <v>0</v>
      </c>
      <c r="E15" s="210" t="s">
        <v>130</v>
      </c>
      <c r="F15" s="133">
        <v>0.36</v>
      </c>
      <c r="G15" s="210" t="s">
        <v>130</v>
      </c>
    </row>
    <row r="16" spans="1:7" ht="13.5" customHeight="1">
      <c r="A16" s="133" t="s">
        <v>131</v>
      </c>
      <c r="B16" s="133">
        <v>25</v>
      </c>
      <c r="C16" s="133">
        <v>18</v>
      </c>
      <c r="D16" s="394">
        <f t="shared" si="0"/>
        <v>1.5</v>
      </c>
      <c r="E16" s="395">
        <f>(B19-B16)*D16/2</f>
        <v>3.75</v>
      </c>
      <c r="F16" s="133">
        <v>0.04</v>
      </c>
      <c r="G16" s="395">
        <f t="shared" ref="G16" si="1">F17*E16</f>
        <v>1.05</v>
      </c>
    </row>
    <row r="17" spans="1:7" ht="13.5" customHeight="1">
      <c r="A17" s="133" t="s">
        <v>133</v>
      </c>
      <c r="B17" s="133">
        <v>25</v>
      </c>
      <c r="C17" s="133">
        <v>9</v>
      </c>
      <c r="D17" s="394">
        <f t="shared" si="0"/>
        <v>0.75</v>
      </c>
      <c r="E17" s="210" t="s">
        <v>130</v>
      </c>
      <c r="F17" s="133">
        <v>0.28000000000000003</v>
      </c>
      <c r="G17" s="210" t="s">
        <v>130</v>
      </c>
    </row>
    <row r="18" spans="1:7" ht="13.5" customHeight="1">
      <c r="A18" s="133" t="s">
        <v>134</v>
      </c>
      <c r="B18" s="133">
        <v>25</v>
      </c>
      <c r="C18" s="133">
        <v>0</v>
      </c>
      <c r="D18" s="394">
        <f t="shared" si="0"/>
        <v>0</v>
      </c>
      <c r="E18" s="210" t="s">
        <v>130</v>
      </c>
      <c r="F18" s="133">
        <v>0.36</v>
      </c>
      <c r="G18" s="210" t="s">
        <v>130</v>
      </c>
    </row>
    <row r="19" spans="1:7" ht="13.5" customHeight="1">
      <c r="A19" s="133" t="s">
        <v>131</v>
      </c>
      <c r="B19" s="133">
        <v>30</v>
      </c>
      <c r="C19" s="133">
        <v>22</v>
      </c>
      <c r="D19" s="394">
        <f t="shared" si="0"/>
        <v>1.8333333333333333</v>
      </c>
      <c r="E19" s="395">
        <f>(B22-B19)*D19/2</f>
        <v>4.583333333333333</v>
      </c>
      <c r="F19" s="133">
        <v>0.01</v>
      </c>
      <c r="G19" s="395">
        <f t="shared" ref="G19" si="2">F20*E19</f>
        <v>1.0999999999999999</v>
      </c>
    </row>
    <row r="20" spans="1:7" ht="13.5" customHeight="1">
      <c r="A20" s="133" t="s">
        <v>133</v>
      </c>
      <c r="B20" s="133">
        <v>30</v>
      </c>
      <c r="C20" s="133">
        <v>11</v>
      </c>
      <c r="D20" s="394">
        <f t="shared" si="0"/>
        <v>0.91666666666666663</v>
      </c>
      <c r="E20" s="210" t="s">
        <v>130</v>
      </c>
      <c r="F20" s="133">
        <v>0.24</v>
      </c>
      <c r="G20" s="210" t="s">
        <v>130</v>
      </c>
    </row>
    <row r="21" spans="1:7" ht="13.5" customHeight="1">
      <c r="A21" s="133" t="s">
        <v>134</v>
      </c>
      <c r="B21" s="133">
        <v>30</v>
      </c>
      <c r="C21" s="133">
        <v>0</v>
      </c>
      <c r="D21" s="394">
        <f t="shared" si="0"/>
        <v>0</v>
      </c>
      <c r="E21" s="210" t="s">
        <v>130</v>
      </c>
      <c r="F21" s="133">
        <v>0.31</v>
      </c>
      <c r="G21" s="210" t="s">
        <v>130</v>
      </c>
    </row>
    <row r="22" spans="1:7" ht="13.5" customHeight="1">
      <c r="A22" s="133" t="s">
        <v>259</v>
      </c>
      <c r="B22" s="133">
        <v>35</v>
      </c>
      <c r="C22" s="133">
        <v>0</v>
      </c>
      <c r="D22" s="394">
        <f t="shared" si="0"/>
        <v>0</v>
      </c>
      <c r="E22" s="395" t="s">
        <v>130</v>
      </c>
      <c r="F22" s="133">
        <v>0</v>
      </c>
      <c r="G22" s="395" t="s">
        <v>130</v>
      </c>
    </row>
    <row r="23" spans="1:7" ht="14.1" customHeight="1">
      <c r="A23" s="27"/>
      <c r="B23" s="28"/>
      <c r="C23" s="28"/>
      <c r="D23" s="28"/>
      <c r="E23" s="366" t="s">
        <v>136</v>
      </c>
      <c r="F23" s="367"/>
      <c r="G23" s="29"/>
    </row>
    <row r="24" spans="1:7" ht="14.1" customHeight="1">
      <c r="A24" s="30" t="s">
        <v>137</v>
      </c>
      <c r="B24" s="31"/>
      <c r="C24" s="31"/>
      <c r="D24" s="28"/>
      <c r="E24" s="366" t="s">
        <v>128</v>
      </c>
      <c r="F24" s="367"/>
      <c r="G24" s="29">
        <f>SUM(G4:G16)</f>
        <v>11.90625</v>
      </c>
    </row>
    <row r="25" spans="1:7" ht="14.1" customHeight="1">
      <c r="A25" s="31" t="s">
        <v>138</v>
      </c>
      <c r="B25" s="31"/>
      <c r="C25" s="31"/>
      <c r="D25" s="28"/>
      <c r="E25" s="372" t="s">
        <v>139</v>
      </c>
      <c r="F25" s="373"/>
      <c r="G25" s="32">
        <f>CONVERT(CONVERT(G24,"ft^3","gal"),"min","sec")</f>
        <v>5343.8961038961043</v>
      </c>
    </row>
    <row r="26" spans="1:7" ht="14.1" customHeight="1" thickBot="1">
      <c r="A26" s="31" t="s">
        <v>260</v>
      </c>
      <c r="B26" s="33"/>
      <c r="C26" s="33"/>
      <c r="D26" s="28"/>
      <c r="E26" s="368" t="s">
        <v>141</v>
      </c>
      <c r="F26" s="369"/>
      <c r="G26" s="34">
        <f>CONVERT(G25,"gal","l")/60</f>
        <v>337.14745473600004</v>
      </c>
    </row>
    <row r="27" spans="1:7" ht="14.1" customHeight="1">
      <c r="A27" s="31" t="s">
        <v>261</v>
      </c>
      <c r="B27" s="35"/>
      <c r="C27" s="35"/>
      <c r="D27" s="28"/>
      <c r="E27" s="28"/>
      <c r="F27" s="36"/>
      <c r="G27" s="28"/>
    </row>
    <row r="28" spans="1:7" ht="5.0999999999999996" customHeight="1">
      <c r="A28" s="37"/>
      <c r="B28" s="38"/>
      <c r="C28" s="38"/>
      <c r="D28" s="28"/>
      <c r="E28" s="28"/>
      <c r="F28" s="36"/>
      <c r="G28" s="28"/>
    </row>
    <row r="29" spans="1:7" ht="14.1" customHeight="1">
      <c r="A29" s="39" t="s">
        <v>143</v>
      </c>
      <c r="B29" s="38"/>
      <c r="C29" s="38"/>
      <c r="D29" s="28"/>
      <c r="E29" s="28"/>
      <c r="F29" s="36"/>
      <c r="G29" s="28"/>
    </row>
    <row r="30" spans="1:7" ht="14.1" customHeight="1">
      <c r="A30" s="40" t="s">
        <v>144</v>
      </c>
      <c r="B30" s="38"/>
      <c r="C30" s="38"/>
      <c r="D30" s="28"/>
      <c r="E30" s="28"/>
      <c r="F30" s="36"/>
      <c r="G30" s="28"/>
    </row>
    <row r="31" spans="1:7" ht="14.1" customHeight="1">
      <c r="A31" s="41" t="s">
        <v>145</v>
      </c>
      <c r="B31" s="38"/>
      <c r="C31" s="38"/>
      <c r="D31" s="28"/>
      <c r="E31" s="28"/>
      <c r="F31" s="36"/>
      <c r="G31" s="28"/>
    </row>
    <row r="32" spans="1:7" ht="14.1" customHeight="1">
      <c r="A32" s="41" t="s">
        <v>146</v>
      </c>
      <c r="B32" s="38"/>
      <c r="C32" s="38"/>
      <c r="D32" s="28"/>
      <c r="E32" s="28"/>
      <c r="F32" s="36"/>
      <c r="G32" s="28"/>
    </row>
    <row r="33" spans="1:7" ht="14.1" customHeight="1">
      <c r="A33" s="41" t="s">
        <v>147</v>
      </c>
      <c r="B33" s="38"/>
      <c r="C33" s="38"/>
      <c r="D33" s="28"/>
      <c r="E33" s="28"/>
      <c r="F33" s="36"/>
      <c r="G33" s="28"/>
    </row>
    <row r="34" spans="1:7" ht="14.1" customHeight="1">
      <c r="A34" s="41" t="s">
        <v>148</v>
      </c>
      <c r="B34" s="38"/>
      <c r="C34" s="38"/>
      <c r="D34" s="28"/>
      <c r="E34" s="28"/>
      <c r="F34" s="36"/>
      <c r="G34" s="28"/>
    </row>
    <row r="35" spans="1:7" ht="5.0999999999999996" customHeight="1">
      <c r="A35" s="37"/>
      <c r="B35" s="38"/>
      <c r="C35" s="38"/>
      <c r="D35" s="28"/>
      <c r="E35" s="28"/>
      <c r="F35" s="36"/>
      <c r="G35" s="28"/>
    </row>
    <row r="36" spans="1:7" ht="14.1" customHeight="1">
      <c r="A36" s="30" t="s">
        <v>149</v>
      </c>
      <c r="B36" s="38"/>
      <c r="C36" s="38"/>
      <c r="D36" s="28"/>
      <c r="E36" s="28"/>
      <c r="F36" s="36"/>
      <c r="G36" s="28"/>
    </row>
    <row r="37" spans="1:7" ht="24.6" customHeight="1">
      <c r="A37" s="362" t="s">
        <v>150</v>
      </c>
      <c r="B37" s="362"/>
      <c r="C37" s="362"/>
      <c r="D37" s="362"/>
      <c r="E37" s="362"/>
      <c r="F37" s="362"/>
      <c r="G37" s="362"/>
    </row>
    <row r="38" spans="1:7" ht="14.1" customHeight="1">
      <c r="A38" s="363" t="s">
        <v>151</v>
      </c>
      <c r="B38" s="363"/>
      <c r="C38" s="363"/>
      <c r="D38" s="363"/>
      <c r="E38" s="363"/>
      <c r="F38" s="363"/>
      <c r="G38" s="363"/>
    </row>
    <row r="39" spans="1:7">
      <c r="A39" s="363"/>
      <c r="B39" s="363"/>
      <c r="C39" s="363"/>
      <c r="D39" s="363"/>
      <c r="E39" s="363"/>
      <c r="F39" s="363"/>
      <c r="G39" s="363"/>
    </row>
    <row r="40" spans="1:7" ht="13.5" hidden="1">
      <c r="A40" s="37" t="s">
        <v>262</v>
      </c>
      <c r="B40" s="42"/>
      <c r="C40" s="42"/>
    </row>
    <row r="41" spans="1:7" ht="15">
      <c r="A41" s="22"/>
      <c r="B41" s="22"/>
      <c r="C41" s="22"/>
      <c r="D41" s="22"/>
      <c r="E41" s="22"/>
      <c r="F41" s="22"/>
      <c r="G41" s="22"/>
    </row>
    <row r="42" spans="1:7">
      <c r="A42" s="44"/>
    </row>
    <row r="43" spans="1:7">
      <c r="A43" s="44"/>
    </row>
    <row r="44" spans="1:7">
      <c r="A44" s="28"/>
    </row>
    <row r="45" spans="1:7">
      <c r="A45" s="28"/>
    </row>
    <row r="51" spans="1:1">
      <c r="A51" s="44"/>
    </row>
    <row r="52" spans="1:1">
      <c r="A52" s="44"/>
    </row>
    <row r="53" spans="1:1">
      <c r="A53" s="28"/>
    </row>
    <row r="54" spans="1:1">
      <c r="A54" s="28"/>
    </row>
  </sheetData>
  <sheetProtection sheet="1" objects="1" scenarios="1"/>
  <mergeCells count="7">
    <mergeCell ref="A37:G37"/>
    <mergeCell ref="A38:G39"/>
    <mergeCell ref="A1:A2"/>
    <mergeCell ref="E23:F23"/>
    <mergeCell ref="E24:F24"/>
    <mergeCell ref="E25:F25"/>
    <mergeCell ref="E26:F26"/>
  </mergeCells>
  <printOptions horizontalCentered="1"/>
  <pageMargins left="0.7" right="0.7" top="1" bottom="0.65312499999999996" header="0.3" footer="0.3"/>
  <pageSetup scale="95" orientation="landscape" verticalDpi="300" r:id="rId1"/>
  <headerFooter>
    <oddHeader>&amp;C&amp;"Times New Roman,Bold"&amp;KFF0000DRAFT&amp;K01+000 TABLE C-4
VOLUMETRIC DISCHARGE CALCULATIONS AT WILLIS CREEK
Chemours Fayetteville Works, North Carolina&amp;R&amp;"Times New Roman,Regular"&amp;10Geosyntec Consultants of NC, PC</oddHeader>
    <oddFooter>&amp;L&amp;"Times New Roman,Regular"&amp;10Page &amp;P of &amp;N&amp;C&amp;"Times New Roman,Regular"&amp;10CONFIDENTIAL -- ATTORNEY CLIENT PRIVILEDGED --
ATTORNEY WORK PRODUCT&amp;R&amp;"Times New Roman,Regular"&amp;10December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370D-28B4-4914-8AC4-9E4267F56ED5}">
  <sheetPr>
    <tabColor rgb="FFFF3399"/>
  </sheetPr>
  <dimension ref="A1:AB163"/>
  <sheetViews>
    <sheetView topLeftCell="A58" zoomScaleNormal="100" workbookViewId="0">
      <selection activeCell="E154" sqref="E154"/>
    </sheetView>
  </sheetViews>
  <sheetFormatPr defaultColWidth="7.5703125" defaultRowHeight="12.75"/>
  <cols>
    <col min="1" max="1" width="18.7109375" style="216" customWidth="1"/>
    <col min="2" max="2" width="13.140625" style="216" customWidth="1"/>
    <col min="3" max="3" width="12.5703125" style="216" customWidth="1"/>
    <col min="4" max="6" width="15.5703125" style="216" customWidth="1"/>
    <col min="7" max="15" width="12.5703125" style="216" customWidth="1"/>
    <col min="16" max="17" width="10.85546875" style="216" customWidth="1"/>
    <col min="18" max="18" width="51.85546875" style="216" bestFit="1" customWidth="1"/>
    <col min="19" max="34" width="15.5703125" style="216" customWidth="1"/>
    <col min="35" max="16384" width="7.5703125" style="216"/>
  </cols>
  <sheetData>
    <row r="1" spans="1:27" ht="13.5" thickBot="1">
      <c r="A1" s="336" t="s">
        <v>263</v>
      </c>
      <c r="B1" s="337"/>
      <c r="C1" s="337"/>
      <c r="D1" s="337"/>
      <c r="E1" s="337"/>
    </row>
    <row r="2" spans="1:27" ht="14.45" customHeight="1">
      <c r="A2" s="374" t="s">
        <v>264</v>
      </c>
      <c r="B2" s="375"/>
      <c r="C2" s="375"/>
      <c r="D2" s="375"/>
      <c r="E2" s="376"/>
    </row>
    <row r="3" spans="1:27" ht="38.25">
      <c r="A3" s="217" t="s">
        <v>265</v>
      </c>
      <c r="B3" s="218" t="s">
        <v>266</v>
      </c>
      <c r="C3" s="218" t="s">
        <v>267</v>
      </c>
      <c r="D3" s="218" t="s">
        <v>268</v>
      </c>
      <c r="E3" s="219" t="s">
        <v>269</v>
      </c>
    </row>
    <row r="4" spans="1:27">
      <c r="A4" s="228">
        <v>40</v>
      </c>
      <c r="B4" s="229">
        <f>A4*1000</f>
        <v>40000</v>
      </c>
      <c r="C4" s="230">
        <v>1</v>
      </c>
      <c r="D4" s="229">
        <f t="shared" ref="D4:D10" si="0">C4*365*24</f>
        <v>8760</v>
      </c>
      <c r="E4" s="231">
        <f>B4/D4</f>
        <v>4.5662100456621006</v>
      </c>
    </row>
    <row r="5" spans="1:27">
      <c r="A5" s="228">
        <v>80</v>
      </c>
      <c r="B5" s="229">
        <f t="shared" ref="B5:B10" si="1">A5*1000</f>
        <v>80000</v>
      </c>
      <c r="C5" s="230">
        <v>1</v>
      </c>
      <c r="D5" s="229">
        <f t="shared" si="0"/>
        <v>8760</v>
      </c>
      <c r="E5" s="231">
        <f t="shared" ref="E5:E10" si="2">B5/D5</f>
        <v>9.1324200913242013</v>
      </c>
    </row>
    <row r="6" spans="1:27">
      <c r="A6" s="228">
        <v>160</v>
      </c>
      <c r="B6" s="229">
        <f t="shared" si="1"/>
        <v>160000</v>
      </c>
      <c r="C6" s="230">
        <v>1</v>
      </c>
      <c r="D6" s="229">
        <f t="shared" si="0"/>
        <v>8760</v>
      </c>
      <c r="E6" s="231">
        <f t="shared" si="2"/>
        <v>18.264840182648403</v>
      </c>
    </row>
    <row r="7" spans="1:27">
      <c r="A7" s="228">
        <v>320</v>
      </c>
      <c r="B7" s="229">
        <f t="shared" si="1"/>
        <v>320000</v>
      </c>
      <c r="C7" s="230">
        <v>1</v>
      </c>
      <c r="D7" s="229">
        <f t="shared" si="0"/>
        <v>8760</v>
      </c>
      <c r="E7" s="231">
        <f t="shared" si="2"/>
        <v>36.529680365296805</v>
      </c>
    </row>
    <row r="8" spans="1:27">
      <c r="A8" s="228">
        <v>640</v>
      </c>
      <c r="B8" s="229">
        <f t="shared" si="1"/>
        <v>640000</v>
      </c>
      <c r="C8" s="230">
        <v>1</v>
      </c>
      <c r="D8" s="229">
        <f t="shared" si="0"/>
        <v>8760</v>
      </c>
      <c r="E8" s="231">
        <f t="shared" si="2"/>
        <v>73.05936073059361</v>
      </c>
    </row>
    <row r="9" spans="1:27">
      <c r="A9" s="228">
        <v>1000</v>
      </c>
      <c r="B9" s="229">
        <f t="shared" si="1"/>
        <v>1000000</v>
      </c>
      <c r="C9" s="230">
        <v>1</v>
      </c>
      <c r="D9" s="229">
        <f t="shared" si="0"/>
        <v>8760</v>
      </c>
      <c r="E9" s="231">
        <f t="shared" si="2"/>
        <v>114.15525114155251</v>
      </c>
    </row>
    <row r="10" spans="1:27" ht="14.45" customHeight="1" thickBot="1">
      <c r="A10" s="258">
        <v>3000</v>
      </c>
      <c r="B10" s="260">
        <f t="shared" si="1"/>
        <v>3000000</v>
      </c>
      <c r="C10" s="259">
        <v>1</v>
      </c>
      <c r="D10" s="260">
        <f t="shared" si="0"/>
        <v>8760</v>
      </c>
      <c r="E10" s="261">
        <f t="shared" si="2"/>
        <v>342.46575342465752</v>
      </c>
    </row>
    <row r="12" spans="1:27" ht="13.5" thickBot="1">
      <c r="A12" s="336" t="s">
        <v>270</v>
      </c>
      <c r="B12" s="337"/>
      <c r="C12" s="337"/>
      <c r="D12" s="337"/>
      <c r="E12" s="337"/>
      <c r="F12" s="337"/>
      <c r="G12" s="337"/>
      <c r="H12" s="337"/>
      <c r="I12" s="337"/>
      <c r="J12" s="337"/>
      <c r="K12" s="337"/>
    </row>
    <row r="13" spans="1:27" ht="14.25">
      <c r="A13" s="302"/>
      <c r="B13" s="268"/>
      <c r="C13" s="268"/>
      <c r="D13" s="335" t="s">
        <v>271</v>
      </c>
      <c r="E13" s="335"/>
      <c r="F13" s="335"/>
      <c r="G13" s="335"/>
      <c r="H13" s="335"/>
      <c r="I13" s="268"/>
      <c r="J13" s="268"/>
      <c r="K13" s="269"/>
    </row>
    <row r="14" spans="1:27">
      <c r="A14" s="292"/>
      <c r="K14" s="303"/>
    </row>
    <row r="15" spans="1:27" ht="15">
      <c r="A15" s="276" t="s">
        <v>272</v>
      </c>
      <c r="G15" s="230" t="s">
        <v>273</v>
      </c>
      <c r="K15" s="303"/>
      <c r="R15" s="250"/>
      <c r="S15" s="251"/>
      <c r="T15" s="252"/>
      <c r="U15" s="253"/>
      <c r="V15" s="254"/>
      <c r="W15" s="255"/>
      <c r="X15" s="255"/>
      <c r="Y15" s="5"/>
      <c r="Z15" s="256"/>
      <c r="AA15" s="252"/>
    </row>
    <row r="16" spans="1:27" ht="15">
      <c r="A16" s="276" t="s">
        <v>274</v>
      </c>
      <c r="B16" s="230" t="s">
        <v>275</v>
      </c>
      <c r="C16" s="230" t="s">
        <v>276</v>
      </c>
      <c r="D16" s="230" t="s">
        <v>277</v>
      </c>
      <c r="E16" s="230" t="s">
        <v>278</v>
      </c>
      <c r="G16" s="230" t="s">
        <v>274</v>
      </c>
      <c r="H16" s="230" t="s">
        <v>275</v>
      </c>
      <c r="I16" s="230" t="s">
        <v>276</v>
      </c>
      <c r="J16" s="230" t="s">
        <v>277</v>
      </c>
      <c r="K16" s="304" t="s">
        <v>278</v>
      </c>
      <c r="R16" s="102"/>
      <c r="S16" s="251"/>
      <c r="T16" s="252"/>
      <c r="U16" s="253"/>
      <c r="V16" s="254"/>
      <c r="W16" s="255"/>
      <c r="X16" s="255"/>
      <c r="Y16" s="5"/>
      <c r="Z16" s="256"/>
      <c r="AA16" s="252"/>
    </row>
    <row r="17" spans="1:27" ht="15">
      <c r="A17" s="289">
        <v>0</v>
      </c>
      <c r="B17" s="305">
        <v>2052367.71</v>
      </c>
      <c r="C17" s="305">
        <v>399949.18</v>
      </c>
      <c r="D17" s="305">
        <v>38.75</v>
      </c>
      <c r="E17" s="306">
        <v>0</v>
      </c>
      <c r="G17" s="307">
        <v>18</v>
      </c>
      <c r="H17" s="305">
        <v>2053460.12</v>
      </c>
      <c r="I17" s="305">
        <v>394654.6</v>
      </c>
      <c r="J17" s="305">
        <v>29.54</v>
      </c>
      <c r="K17" s="308">
        <v>0</v>
      </c>
      <c r="R17" s="257"/>
      <c r="S17" s="251"/>
      <c r="T17" s="252"/>
      <c r="U17" s="253"/>
      <c r="V17" s="254"/>
      <c r="W17" s="255"/>
      <c r="X17" s="255"/>
      <c r="Y17" s="5"/>
      <c r="Z17" s="256"/>
      <c r="AA17" s="252"/>
    </row>
    <row r="18" spans="1:27" ht="15">
      <c r="A18" s="292">
        <v>1</v>
      </c>
      <c r="B18" s="216">
        <v>2052365.81</v>
      </c>
      <c r="C18" s="216">
        <v>399949</v>
      </c>
      <c r="D18" s="216">
        <v>38.22</v>
      </c>
      <c r="E18" s="309">
        <v>1.9</v>
      </c>
      <c r="G18" s="310">
        <v>19</v>
      </c>
      <c r="H18" s="216">
        <v>2053435.76</v>
      </c>
      <c r="I18" s="216">
        <v>394648.97</v>
      </c>
      <c r="J18" s="216">
        <v>27.24</v>
      </c>
      <c r="K18" s="303">
        <v>24.36</v>
      </c>
      <c r="R18" s="257"/>
      <c r="S18" s="251"/>
      <c r="T18" s="252"/>
      <c r="U18" s="253"/>
      <c r="V18" s="254"/>
      <c r="W18" s="255"/>
      <c r="X18" s="255"/>
      <c r="Y18" s="5"/>
      <c r="Z18" s="256"/>
      <c r="AA18" s="252"/>
    </row>
    <row r="19" spans="1:27">
      <c r="A19" s="292">
        <v>2</v>
      </c>
      <c r="B19" s="216">
        <v>2052333.77</v>
      </c>
      <c r="C19" s="216">
        <v>399945.84</v>
      </c>
      <c r="D19" s="216">
        <v>28.9</v>
      </c>
      <c r="E19" s="309">
        <v>33.94</v>
      </c>
      <c r="G19" s="310">
        <v>20</v>
      </c>
      <c r="H19" s="216">
        <v>2053281.33</v>
      </c>
      <c r="I19" s="216">
        <v>394613.29</v>
      </c>
      <c r="J19" s="216">
        <v>23</v>
      </c>
      <c r="K19" s="303">
        <v>178.79</v>
      </c>
    </row>
    <row r="20" spans="1:27">
      <c r="A20" s="292">
        <v>3</v>
      </c>
      <c r="B20" s="216">
        <v>2052254.15</v>
      </c>
      <c r="C20" s="216">
        <v>399938.01</v>
      </c>
      <c r="D20" s="216">
        <v>7.9</v>
      </c>
      <c r="E20" s="309">
        <v>113.56</v>
      </c>
      <c r="G20" s="310">
        <v>21</v>
      </c>
      <c r="H20" s="216">
        <v>2053277.43</v>
      </c>
      <c r="I20" s="216">
        <v>394612.39</v>
      </c>
      <c r="J20" s="216">
        <v>22.15</v>
      </c>
      <c r="K20" s="303">
        <v>182.69</v>
      </c>
      <c r="Q20" s="102"/>
    </row>
    <row r="21" spans="1:27">
      <c r="A21" s="292">
        <v>4</v>
      </c>
      <c r="B21" s="216">
        <v>2052154.63</v>
      </c>
      <c r="C21" s="216">
        <v>399928.21</v>
      </c>
      <c r="D21" s="216">
        <v>7.9</v>
      </c>
      <c r="E21" s="309">
        <v>213.08</v>
      </c>
      <c r="G21" s="310">
        <v>22</v>
      </c>
      <c r="H21" s="216">
        <v>2053180</v>
      </c>
      <c r="I21" s="216">
        <v>394589.87</v>
      </c>
      <c r="J21" s="216">
        <v>1</v>
      </c>
      <c r="K21" s="303">
        <v>280.12</v>
      </c>
      <c r="Q21" s="257"/>
    </row>
    <row r="22" spans="1:27">
      <c r="A22" s="292">
        <v>5</v>
      </c>
      <c r="B22" s="216">
        <v>2052094.92</v>
      </c>
      <c r="C22" s="216">
        <v>399922.33</v>
      </c>
      <c r="D22" s="216">
        <v>28.9</v>
      </c>
      <c r="E22" s="413">
        <v>272.79000000000002</v>
      </c>
      <c r="G22" s="310">
        <v>23</v>
      </c>
      <c r="H22" s="216">
        <v>2053078.67</v>
      </c>
      <c r="I22" s="216">
        <v>394566.46</v>
      </c>
      <c r="J22" s="216">
        <v>1</v>
      </c>
      <c r="K22" s="303">
        <v>381.45</v>
      </c>
      <c r="Q22" s="257"/>
    </row>
    <row r="23" spans="1:27">
      <c r="A23" s="311">
        <v>6</v>
      </c>
      <c r="B23" s="414">
        <v>2052092.83</v>
      </c>
      <c r="C23" s="414">
        <v>399922.13</v>
      </c>
      <c r="D23" s="413">
        <v>31.58</v>
      </c>
      <c r="E23" s="413">
        <v>274.88</v>
      </c>
      <c r="G23" s="310">
        <v>24</v>
      </c>
      <c r="H23" s="216">
        <v>2052977.34</v>
      </c>
      <c r="I23" s="216">
        <v>394543.05</v>
      </c>
      <c r="J23" s="216">
        <v>23</v>
      </c>
      <c r="K23" s="303">
        <v>482.78</v>
      </c>
      <c r="Q23" s="257"/>
    </row>
    <row r="24" spans="1:27">
      <c r="A24" s="312"/>
      <c r="G24" s="310">
        <v>25</v>
      </c>
      <c r="H24" s="216">
        <v>2052948.59</v>
      </c>
      <c r="I24" s="216">
        <v>394536.4</v>
      </c>
      <c r="J24" s="216">
        <v>28.11</v>
      </c>
      <c r="K24" s="303">
        <v>511.53</v>
      </c>
      <c r="Q24" s="102"/>
    </row>
    <row r="25" spans="1:27">
      <c r="A25" s="288" t="s">
        <v>279</v>
      </c>
      <c r="G25" s="415">
        <v>26</v>
      </c>
      <c r="H25" s="414">
        <v>2052924.24</v>
      </c>
      <c r="I25" s="414">
        <v>394530.78</v>
      </c>
      <c r="J25" s="414">
        <v>30.19</v>
      </c>
      <c r="K25" s="416">
        <v>535.88</v>
      </c>
      <c r="Q25" s="102"/>
    </row>
    <row r="26" spans="1:27">
      <c r="A26" s="276" t="s">
        <v>274</v>
      </c>
      <c r="B26" s="230" t="s">
        <v>275</v>
      </c>
      <c r="C26" s="230" t="s">
        <v>276</v>
      </c>
      <c r="D26" s="230" t="s">
        <v>277</v>
      </c>
      <c r="E26" s="315" t="s">
        <v>278</v>
      </c>
      <c r="K26" s="303"/>
      <c r="O26" s="290"/>
    </row>
    <row r="27" spans="1:27">
      <c r="A27" s="292">
        <v>7</v>
      </c>
      <c r="B27" s="216">
        <v>2053112.53</v>
      </c>
      <c r="C27" s="216">
        <v>396900.66</v>
      </c>
      <c r="D27" s="216">
        <v>39.020000000000003</v>
      </c>
      <c r="E27" s="309">
        <v>0</v>
      </c>
      <c r="G27" s="230" t="s">
        <v>280</v>
      </c>
      <c r="K27" s="303"/>
      <c r="O27" s="290"/>
    </row>
    <row r="28" spans="1:27">
      <c r="A28" s="292">
        <v>8</v>
      </c>
      <c r="B28" s="216">
        <v>2053069.54</v>
      </c>
      <c r="C28" s="216">
        <v>396895.48</v>
      </c>
      <c r="D28" s="216">
        <v>28.07</v>
      </c>
      <c r="E28" s="309">
        <v>42.99</v>
      </c>
      <c r="G28" s="230" t="s">
        <v>274</v>
      </c>
      <c r="H28" s="230" t="s">
        <v>275</v>
      </c>
      <c r="I28" s="230" t="s">
        <v>276</v>
      </c>
      <c r="J28" s="230" t="s">
        <v>277</v>
      </c>
      <c r="K28" s="304" t="s">
        <v>278</v>
      </c>
    </row>
    <row r="29" spans="1:27">
      <c r="A29" s="292">
        <v>9</v>
      </c>
      <c r="B29" s="216">
        <v>2052990.11</v>
      </c>
      <c r="C29" s="216">
        <v>396885.93</v>
      </c>
      <c r="D29" s="216">
        <v>7.07</v>
      </c>
      <c r="E29" s="309">
        <v>122.42</v>
      </c>
      <c r="G29" s="310">
        <v>21</v>
      </c>
      <c r="H29" s="216">
        <v>2053373.35</v>
      </c>
      <c r="I29" s="216">
        <v>393936.95</v>
      </c>
      <c r="J29" s="216">
        <v>29.14</v>
      </c>
      <c r="K29" s="303">
        <v>0</v>
      </c>
    </row>
    <row r="30" spans="1:27">
      <c r="A30" s="292">
        <v>10</v>
      </c>
      <c r="B30" s="216">
        <v>2052890.83</v>
      </c>
      <c r="C30" s="216">
        <v>396873.98</v>
      </c>
      <c r="D30" s="216">
        <v>7.07</v>
      </c>
      <c r="E30" s="309">
        <v>221.7</v>
      </c>
      <c r="G30" s="310">
        <v>22</v>
      </c>
      <c r="H30" s="216">
        <v>2053349</v>
      </c>
      <c r="I30" s="216">
        <v>393931.28</v>
      </c>
      <c r="J30" s="216">
        <v>21.75</v>
      </c>
      <c r="K30" s="303">
        <v>24.35</v>
      </c>
    </row>
    <row r="31" spans="1:27">
      <c r="A31" s="292">
        <v>11</v>
      </c>
      <c r="B31" s="216">
        <v>2052831.26</v>
      </c>
      <c r="C31" s="216">
        <v>396866.81</v>
      </c>
      <c r="D31" s="216">
        <v>28.07</v>
      </c>
      <c r="E31" s="309">
        <v>281.27</v>
      </c>
      <c r="G31" s="310">
        <v>23</v>
      </c>
      <c r="H31" s="216">
        <v>2053271.08</v>
      </c>
      <c r="I31" s="216">
        <v>393913.17</v>
      </c>
      <c r="J31" s="216">
        <v>0.75</v>
      </c>
      <c r="K31" s="303">
        <v>102.27</v>
      </c>
    </row>
    <row r="32" spans="1:27">
      <c r="A32" s="311">
        <v>12</v>
      </c>
      <c r="B32" s="414">
        <v>2052814.68</v>
      </c>
      <c r="C32" s="414">
        <v>396864.81</v>
      </c>
      <c r="D32" s="414">
        <v>36.270000000000003</v>
      </c>
      <c r="E32" s="413">
        <v>297.85000000000002</v>
      </c>
      <c r="G32" s="310">
        <v>24</v>
      </c>
      <c r="H32" s="216">
        <v>2053173.67</v>
      </c>
      <c r="I32" s="216">
        <v>393890.52</v>
      </c>
      <c r="J32" s="216">
        <v>0.75</v>
      </c>
      <c r="K32" s="303">
        <v>199.68</v>
      </c>
    </row>
    <row r="33" spans="1:11">
      <c r="A33" s="292"/>
      <c r="G33" s="310">
        <v>25</v>
      </c>
      <c r="H33" s="216">
        <v>2053115.23</v>
      </c>
      <c r="I33" s="216">
        <v>393876.93</v>
      </c>
      <c r="J33" s="216">
        <v>21.75</v>
      </c>
      <c r="K33" s="416">
        <v>258.12</v>
      </c>
    </row>
    <row r="34" spans="1:11">
      <c r="A34" s="276" t="s">
        <v>281</v>
      </c>
      <c r="B34" s="417" t="s">
        <v>282</v>
      </c>
      <c r="C34" s="418"/>
      <c r="D34" s="418"/>
      <c r="E34" s="418"/>
      <c r="G34" s="415">
        <v>26</v>
      </c>
      <c r="H34" s="414">
        <v>2053081.14</v>
      </c>
      <c r="I34" s="414">
        <v>393869</v>
      </c>
      <c r="J34" s="413">
        <v>33.29</v>
      </c>
      <c r="K34" s="416">
        <v>292.20999999999998</v>
      </c>
    </row>
    <row r="35" spans="1:11">
      <c r="A35" s="276" t="s">
        <v>274</v>
      </c>
      <c r="B35" s="230" t="s">
        <v>275</v>
      </c>
      <c r="C35" s="230" t="s">
        <v>276</v>
      </c>
      <c r="D35" s="230" t="s">
        <v>277</v>
      </c>
      <c r="E35" s="230" t="s">
        <v>278</v>
      </c>
      <c r="K35" s="303"/>
    </row>
    <row r="36" spans="1:11">
      <c r="A36" s="292">
        <v>13</v>
      </c>
      <c r="B36" s="216">
        <v>2053209.27</v>
      </c>
      <c r="C36" s="216">
        <v>394896.7</v>
      </c>
      <c r="D36" s="216">
        <v>26</v>
      </c>
      <c r="E36" s="309">
        <v>0</v>
      </c>
      <c r="G36" s="230" t="s">
        <v>283</v>
      </c>
      <c r="H36" s="417" t="s">
        <v>284</v>
      </c>
      <c r="I36" s="418"/>
      <c r="J36" s="418"/>
      <c r="K36" s="419"/>
    </row>
    <row r="37" spans="1:11">
      <c r="A37" s="292">
        <v>14</v>
      </c>
      <c r="B37" s="216">
        <v>2053129.54</v>
      </c>
      <c r="C37" s="216">
        <v>394877.53</v>
      </c>
      <c r="D37" s="216">
        <v>4.59</v>
      </c>
      <c r="E37" s="309">
        <v>79.73</v>
      </c>
      <c r="G37" s="230" t="s">
        <v>274</v>
      </c>
      <c r="H37" s="230" t="s">
        <v>275</v>
      </c>
      <c r="I37" s="230" t="s">
        <v>276</v>
      </c>
      <c r="J37" s="230" t="s">
        <v>277</v>
      </c>
      <c r="K37" s="304" t="s">
        <v>278</v>
      </c>
    </row>
    <row r="38" spans="1:11">
      <c r="A38" s="292">
        <v>15</v>
      </c>
      <c r="B38" s="216">
        <v>2053032.31</v>
      </c>
      <c r="C38" s="216">
        <v>394854.15</v>
      </c>
      <c r="D38" s="216">
        <v>4.59</v>
      </c>
      <c r="E38" s="309">
        <v>176.96</v>
      </c>
      <c r="G38" s="310">
        <v>31</v>
      </c>
      <c r="H38" s="216">
        <v>2053769.18</v>
      </c>
      <c r="I38" s="216">
        <v>390651.86</v>
      </c>
      <c r="J38" s="216">
        <v>22.07</v>
      </c>
      <c r="K38" s="303">
        <v>0</v>
      </c>
    </row>
    <row r="39" spans="1:11">
      <c r="A39" s="292">
        <v>16</v>
      </c>
      <c r="B39" s="216">
        <v>2052973.97</v>
      </c>
      <c r="C39" s="216">
        <v>394840.12</v>
      </c>
      <c r="D39" s="216">
        <v>26</v>
      </c>
      <c r="E39" s="413">
        <v>235.3</v>
      </c>
      <c r="G39" s="310">
        <v>32</v>
      </c>
      <c r="H39" s="216">
        <v>2053728.86</v>
      </c>
      <c r="I39" s="216">
        <v>390644.99</v>
      </c>
      <c r="J39" s="216">
        <v>1.07</v>
      </c>
      <c r="K39" s="303">
        <v>40.32</v>
      </c>
    </row>
    <row r="40" spans="1:11">
      <c r="A40" s="311">
        <v>17</v>
      </c>
      <c r="B40" s="414">
        <v>2052961.04</v>
      </c>
      <c r="C40" s="414">
        <v>394837.01</v>
      </c>
      <c r="D40" s="413">
        <v>36.39</v>
      </c>
      <c r="E40" s="420">
        <v>248.23</v>
      </c>
      <c r="G40" s="310">
        <v>33</v>
      </c>
      <c r="H40" s="216">
        <v>2053642.71</v>
      </c>
      <c r="I40" s="216">
        <v>390630.29</v>
      </c>
      <c r="J40" s="216">
        <v>1.07</v>
      </c>
      <c r="K40" s="303">
        <v>126.47</v>
      </c>
    </row>
    <row r="41" spans="1:11">
      <c r="A41" s="292"/>
      <c r="G41" s="310">
        <v>34</v>
      </c>
      <c r="H41" s="216">
        <v>2053602.39</v>
      </c>
      <c r="I41" s="216">
        <v>390623.41</v>
      </c>
      <c r="J41" s="216">
        <v>22.07</v>
      </c>
      <c r="K41" s="416">
        <v>166.79</v>
      </c>
    </row>
    <row r="42" spans="1:11">
      <c r="A42" s="276" t="s">
        <v>285</v>
      </c>
      <c r="G42" s="415">
        <v>35</v>
      </c>
      <c r="H42" s="414">
        <v>2053571.73</v>
      </c>
      <c r="I42" s="414">
        <v>390618.18</v>
      </c>
      <c r="J42" s="413">
        <v>25.37</v>
      </c>
      <c r="K42" s="421">
        <v>197.45</v>
      </c>
    </row>
    <row r="43" spans="1:11">
      <c r="A43" s="276" t="s">
        <v>274</v>
      </c>
      <c r="B43" s="230" t="s">
        <v>275</v>
      </c>
      <c r="C43" s="230" t="s">
        <v>276</v>
      </c>
      <c r="D43" s="230" t="s">
        <v>277</v>
      </c>
      <c r="E43" s="230" t="s">
        <v>278</v>
      </c>
      <c r="G43" s="328"/>
      <c r="K43" s="303"/>
    </row>
    <row r="44" spans="1:11">
      <c r="A44" s="292">
        <v>27</v>
      </c>
      <c r="B44" s="216">
        <v>2053559.62</v>
      </c>
      <c r="C44" s="216">
        <v>392482.01</v>
      </c>
      <c r="D44" s="216">
        <v>0.75</v>
      </c>
      <c r="E44" s="309">
        <v>0</v>
      </c>
      <c r="F44" s="329"/>
      <c r="G44" s="315" t="s">
        <v>286</v>
      </c>
      <c r="K44" s="303"/>
    </row>
    <row r="45" spans="1:11">
      <c r="A45" s="292">
        <v>28</v>
      </c>
      <c r="B45" s="216">
        <v>2053430.17</v>
      </c>
      <c r="C45" s="216">
        <v>392455.19</v>
      </c>
      <c r="D45" s="216">
        <v>0.75</v>
      </c>
      <c r="E45" s="309">
        <v>129.44999999999999</v>
      </c>
      <c r="F45" s="329"/>
      <c r="G45" s="315" t="s">
        <v>287</v>
      </c>
      <c r="H45" s="230" t="s">
        <v>275</v>
      </c>
      <c r="I45" s="230" t="s">
        <v>276</v>
      </c>
      <c r="J45" s="230" t="s">
        <v>277</v>
      </c>
      <c r="K45" s="304" t="s">
        <v>278</v>
      </c>
    </row>
    <row r="46" spans="1:11">
      <c r="A46" s="292">
        <v>29</v>
      </c>
      <c r="B46" s="216">
        <v>2053369.56</v>
      </c>
      <c r="C46" s="216">
        <v>392442.63</v>
      </c>
      <c r="D46" s="216">
        <v>21.75</v>
      </c>
      <c r="E46" s="413">
        <v>190.06</v>
      </c>
      <c r="G46" s="307">
        <v>1271</v>
      </c>
      <c r="H46" s="305">
        <v>2054059.28</v>
      </c>
      <c r="I46" s="305">
        <v>387248.78</v>
      </c>
      <c r="J46" s="305">
        <v>50.87</v>
      </c>
      <c r="K46" s="308">
        <v>0</v>
      </c>
    </row>
    <row r="47" spans="1:11">
      <c r="A47" s="311">
        <v>30</v>
      </c>
      <c r="B47" s="414">
        <v>2053321.77</v>
      </c>
      <c r="C47" s="414">
        <v>392432.72</v>
      </c>
      <c r="D47" s="413">
        <v>45.09</v>
      </c>
      <c r="E47" s="413">
        <v>237.85</v>
      </c>
      <c r="G47" s="310">
        <v>1272</v>
      </c>
      <c r="H47" s="216">
        <v>2054022.4</v>
      </c>
      <c r="I47" s="216">
        <v>387215.02</v>
      </c>
      <c r="J47" s="216">
        <v>39.630000000000003</v>
      </c>
      <c r="K47" s="303">
        <v>36.880000000000003</v>
      </c>
    </row>
    <row r="48" spans="1:11">
      <c r="A48" s="292"/>
      <c r="G48" s="310">
        <v>1273</v>
      </c>
      <c r="H48" s="216">
        <v>2053994.74</v>
      </c>
      <c r="I48" s="216">
        <v>387189.7</v>
      </c>
      <c r="J48" s="216">
        <v>22.5</v>
      </c>
      <c r="K48" s="303">
        <v>64.540000000000006</v>
      </c>
    </row>
    <row r="49" spans="1:28">
      <c r="A49" s="276" t="s">
        <v>288</v>
      </c>
      <c r="G49" s="310">
        <v>1274</v>
      </c>
      <c r="H49" s="216">
        <v>2053946.36</v>
      </c>
      <c r="I49" s="216">
        <v>387145.4</v>
      </c>
      <c r="J49" s="216">
        <v>-0.5</v>
      </c>
      <c r="K49" s="303">
        <v>112.92</v>
      </c>
    </row>
    <row r="50" spans="1:28">
      <c r="A50" s="276" t="s">
        <v>287</v>
      </c>
      <c r="B50" s="230" t="s">
        <v>275</v>
      </c>
      <c r="C50" s="230" t="s">
        <v>276</v>
      </c>
      <c r="D50" s="230" t="s">
        <v>277</v>
      </c>
      <c r="E50" s="230" t="s">
        <v>278</v>
      </c>
      <c r="G50" s="310">
        <v>1275</v>
      </c>
      <c r="H50" s="216">
        <v>2053860.65</v>
      </c>
      <c r="I50" s="216">
        <v>387066.93</v>
      </c>
      <c r="J50" s="216">
        <v>-0.5</v>
      </c>
      <c r="K50" s="303">
        <v>198.63</v>
      </c>
    </row>
    <row r="51" spans="1:28">
      <c r="A51" s="289">
        <v>1193</v>
      </c>
      <c r="B51" s="305">
        <v>2053950.17</v>
      </c>
      <c r="C51" s="305">
        <v>388875.98</v>
      </c>
      <c r="D51" s="305">
        <v>37.229999999999997</v>
      </c>
      <c r="E51" s="306">
        <v>0</v>
      </c>
      <c r="G51" s="310">
        <v>1276</v>
      </c>
      <c r="H51" s="216">
        <v>2053812.26</v>
      </c>
      <c r="I51" s="216">
        <v>387022.63</v>
      </c>
      <c r="J51" s="216">
        <v>22.5</v>
      </c>
      <c r="K51" s="303">
        <v>247.020000000018</v>
      </c>
    </row>
    <row r="52" spans="1:28">
      <c r="A52" s="292">
        <v>1194</v>
      </c>
      <c r="B52" s="216">
        <v>2053901.51</v>
      </c>
      <c r="C52" s="216">
        <v>388873.93</v>
      </c>
      <c r="D52" s="216">
        <v>21.86</v>
      </c>
      <c r="E52" s="309">
        <v>48.66</v>
      </c>
      <c r="G52" s="310">
        <v>1277</v>
      </c>
      <c r="H52" s="216">
        <v>2053801.13</v>
      </c>
      <c r="I52" s="216">
        <v>387012.43</v>
      </c>
      <c r="J52" s="216">
        <v>38.1</v>
      </c>
      <c r="K52" s="303">
        <v>258.14999999999998</v>
      </c>
    </row>
    <row r="53" spans="1:28">
      <c r="A53" s="292">
        <v>1195</v>
      </c>
      <c r="B53" s="216">
        <v>2053842.77</v>
      </c>
      <c r="C53" s="216">
        <v>388871.47</v>
      </c>
      <c r="D53" s="216">
        <v>0.86</v>
      </c>
      <c r="E53" s="309">
        <v>107.4</v>
      </c>
      <c r="G53" s="415">
        <v>1278</v>
      </c>
      <c r="H53" s="414">
        <v>2053727.37</v>
      </c>
      <c r="I53" s="414">
        <v>386944.91</v>
      </c>
      <c r="J53" s="414">
        <v>72.260000000000005</v>
      </c>
      <c r="K53" s="304">
        <v>331.91</v>
      </c>
    </row>
    <row r="54" spans="1:28">
      <c r="A54" s="292">
        <v>1196</v>
      </c>
      <c r="B54" s="216">
        <v>2053717.47</v>
      </c>
      <c r="C54" s="216">
        <v>388866.21</v>
      </c>
      <c r="D54" s="216">
        <v>0.86</v>
      </c>
      <c r="E54" s="309">
        <v>232.7</v>
      </c>
      <c r="K54" s="303"/>
    </row>
    <row r="55" spans="1:28">
      <c r="A55" s="292">
        <v>1197</v>
      </c>
      <c r="B55" s="216">
        <v>2053658.73</v>
      </c>
      <c r="C55" s="216">
        <v>388863.75</v>
      </c>
      <c r="D55" s="216">
        <v>21.86</v>
      </c>
      <c r="E55" s="309">
        <v>291.44</v>
      </c>
      <c r="G55" s="230" t="s">
        <v>289</v>
      </c>
      <c r="K55" s="303"/>
    </row>
    <row r="56" spans="1:28">
      <c r="A56" s="292">
        <v>1198</v>
      </c>
      <c r="B56" s="216">
        <v>2053650.43</v>
      </c>
      <c r="C56" s="216">
        <v>388863.4</v>
      </c>
      <c r="D56" s="216">
        <v>30.55</v>
      </c>
      <c r="E56" s="413">
        <v>299.74</v>
      </c>
      <c r="G56" s="230" t="s">
        <v>287</v>
      </c>
      <c r="H56" s="230" t="s">
        <v>275</v>
      </c>
      <c r="I56" s="230" t="s">
        <v>276</v>
      </c>
      <c r="J56" s="230" t="s">
        <v>277</v>
      </c>
      <c r="K56" s="304" t="s">
        <v>278</v>
      </c>
    </row>
    <row r="57" spans="1:28">
      <c r="A57" s="311">
        <v>1199</v>
      </c>
      <c r="B57" s="414">
        <v>2053600.48</v>
      </c>
      <c r="C57" s="414">
        <v>388861.3</v>
      </c>
      <c r="D57" s="414">
        <v>46.74</v>
      </c>
      <c r="E57" s="230">
        <v>349.69</v>
      </c>
      <c r="G57" s="310">
        <v>1498</v>
      </c>
      <c r="H57" s="216">
        <v>2057643.34</v>
      </c>
      <c r="I57" s="216">
        <v>382269.34</v>
      </c>
      <c r="J57" s="216">
        <v>37.28</v>
      </c>
      <c r="K57" s="303">
        <v>0</v>
      </c>
    </row>
    <row r="58" spans="1:28">
      <c r="A58" s="292"/>
      <c r="G58" s="310">
        <v>1499</v>
      </c>
      <c r="H58" s="216">
        <v>2057609.61</v>
      </c>
      <c r="I58" s="216">
        <v>382245.5</v>
      </c>
      <c r="J58" s="216">
        <v>21.69</v>
      </c>
      <c r="K58" s="303">
        <v>33.729999999999997</v>
      </c>
    </row>
    <row r="59" spans="1:28">
      <c r="A59" s="276" t="s">
        <v>290</v>
      </c>
      <c r="G59" s="310">
        <v>1500</v>
      </c>
      <c r="H59" s="216">
        <v>2057556.04</v>
      </c>
      <c r="I59" s="216">
        <v>382207.64</v>
      </c>
      <c r="J59" s="216">
        <v>-1.31</v>
      </c>
      <c r="K59" s="303">
        <v>87.3</v>
      </c>
    </row>
    <row r="60" spans="1:28">
      <c r="A60" s="276" t="s">
        <v>287</v>
      </c>
      <c r="B60" s="230" t="s">
        <v>275</v>
      </c>
      <c r="C60" s="230" t="s">
        <v>276</v>
      </c>
      <c r="D60" s="230" t="s">
        <v>277</v>
      </c>
      <c r="E60" s="230" t="s">
        <v>278</v>
      </c>
      <c r="G60" s="310">
        <v>1501</v>
      </c>
      <c r="H60" s="216">
        <v>2057461.14</v>
      </c>
      <c r="I60" s="216">
        <v>382140.57</v>
      </c>
      <c r="J60" s="216">
        <v>-1.31</v>
      </c>
      <c r="K60" s="303">
        <v>182.2</v>
      </c>
    </row>
    <row r="61" spans="1:28">
      <c r="A61" s="289">
        <v>1331</v>
      </c>
      <c r="B61" s="305">
        <v>2055878.83</v>
      </c>
      <c r="C61" s="305">
        <v>386153.84</v>
      </c>
      <c r="D61" s="305">
        <v>41.88</v>
      </c>
      <c r="E61" s="306">
        <v>0</v>
      </c>
      <c r="G61" s="310">
        <v>1502</v>
      </c>
      <c r="H61" s="216">
        <v>2057407.57</v>
      </c>
      <c r="I61" s="216">
        <v>382102.71</v>
      </c>
      <c r="J61" s="216">
        <v>21.69</v>
      </c>
      <c r="K61" s="303">
        <v>235.77</v>
      </c>
    </row>
    <row r="62" spans="1:28">
      <c r="A62" s="292">
        <v>1332</v>
      </c>
      <c r="B62" s="216">
        <v>2055812.4</v>
      </c>
      <c r="C62" s="216">
        <v>386120.33</v>
      </c>
      <c r="D62" s="216">
        <v>21.6</v>
      </c>
      <c r="E62" s="309">
        <v>66.430000000000007</v>
      </c>
      <c r="G62" s="310">
        <v>1503</v>
      </c>
      <c r="H62" s="216">
        <v>2057398.35</v>
      </c>
      <c r="I62" s="216">
        <v>382096.19</v>
      </c>
      <c r="J62" s="216">
        <v>23.87</v>
      </c>
      <c r="K62" s="303">
        <v>244.99</v>
      </c>
      <c r="R62" s="333"/>
      <c r="S62" s="333"/>
      <c r="T62" s="333"/>
      <c r="U62" s="28"/>
      <c r="V62" s="333"/>
      <c r="W62" s="28"/>
      <c r="X62" s="333"/>
      <c r="Y62" s="28"/>
      <c r="Z62" s="333"/>
      <c r="AA62" s="28"/>
      <c r="AB62" s="333"/>
    </row>
    <row r="63" spans="1:28">
      <c r="A63" s="292">
        <v>1333</v>
      </c>
      <c r="B63" s="216">
        <v>2055752.85</v>
      </c>
      <c r="C63" s="216">
        <v>386090.29</v>
      </c>
      <c r="D63" s="216">
        <v>-1.4</v>
      </c>
      <c r="E63" s="309">
        <v>125.98</v>
      </c>
      <c r="G63" s="415">
        <v>1504</v>
      </c>
      <c r="H63" s="414">
        <v>2057357.51</v>
      </c>
      <c r="I63" s="414">
        <v>382067.33</v>
      </c>
      <c r="J63" s="414">
        <v>34.270000000000003</v>
      </c>
      <c r="K63" s="304">
        <v>285.83</v>
      </c>
    </row>
    <row r="64" spans="1:28">
      <c r="A64" s="292">
        <v>1334</v>
      </c>
      <c r="B64" s="216">
        <v>2055647.14</v>
      </c>
      <c r="C64" s="216">
        <v>386036.95</v>
      </c>
      <c r="D64" s="216">
        <v>-1.4</v>
      </c>
      <c r="E64" s="309">
        <v>231.69</v>
      </c>
      <c r="G64" s="414"/>
      <c r="K64" s="303"/>
    </row>
    <row r="65" spans="1:11">
      <c r="A65" s="292">
        <v>1335</v>
      </c>
      <c r="B65" s="216">
        <v>2055587.59</v>
      </c>
      <c r="C65" s="216">
        <v>386006.91</v>
      </c>
      <c r="D65" s="216">
        <v>21.6</v>
      </c>
      <c r="E65" s="309">
        <v>291.24</v>
      </c>
      <c r="G65" s="413" t="s">
        <v>291</v>
      </c>
      <c r="K65" s="303"/>
    </row>
    <row r="66" spans="1:11">
      <c r="A66" s="311">
        <v>1336</v>
      </c>
      <c r="B66" s="414">
        <v>2055566.34</v>
      </c>
      <c r="C66" s="414">
        <v>385996.19</v>
      </c>
      <c r="D66" s="414">
        <v>32.19</v>
      </c>
      <c r="E66" s="230">
        <v>312.49</v>
      </c>
      <c r="G66" s="230" t="s">
        <v>287</v>
      </c>
      <c r="H66" s="230" t="s">
        <v>275</v>
      </c>
      <c r="I66" s="230" t="s">
        <v>276</v>
      </c>
      <c r="J66" s="230" t="s">
        <v>277</v>
      </c>
      <c r="K66" s="304" t="s">
        <v>278</v>
      </c>
    </row>
    <row r="67" spans="1:11">
      <c r="A67" s="292"/>
      <c r="G67" s="307">
        <v>1565</v>
      </c>
      <c r="H67" s="305">
        <v>2058900.55</v>
      </c>
      <c r="I67" s="305">
        <v>380593.3</v>
      </c>
      <c r="J67" s="305">
        <v>36.020000000000003</v>
      </c>
      <c r="K67" s="308">
        <v>0</v>
      </c>
    </row>
    <row r="68" spans="1:11">
      <c r="A68" s="276" t="s">
        <v>292</v>
      </c>
      <c r="G68" s="310">
        <v>1566</v>
      </c>
      <c r="H68" s="216">
        <v>2058829.56</v>
      </c>
      <c r="I68" s="216">
        <v>380549.15</v>
      </c>
      <c r="J68" s="216">
        <v>22.16</v>
      </c>
      <c r="K68" s="303">
        <v>70.989999999999995</v>
      </c>
    </row>
    <row r="69" spans="1:11">
      <c r="A69" s="276" t="s">
        <v>287</v>
      </c>
      <c r="B69" s="230" t="s">
        <v>275</v>
      </c>
      <c r="C69" s="230" t="s">
        <v>276</v>
      </c>
      <c r="D69" s="230" t="s">
        <v>277</v>
      </c>
      <c r="E69" s="230" t="s">
        <v>278</v>
      </c>
      <c r="G69" s="310">
        <v>1567</v>
      </c>
      <c r="H69" s="216">
        <v>2058773.85</v>
      </c>
      <c r="I69" s="216">
        <v>380514.5</v>
      </c>
      <c r="J69" s="216">
        <v>-0.84</v>
      </c>
      <c r="K69" s="303">
        <v>126.7</v>
      </c>
    </row>
    <row r="70" spans="1:11">
      <c r="A70" s="289">
        <v>1406</v>
      </c>
      <c r="B70" s="305">
        <v>2056453.15</v>
      </c>
      <c r="C70" s="305">
        <v>383857.45</v>
      </c>
      <c r="D70" s="305">
        <v>38.32</v>
      </c>
      <c r="E70" s="306">
        <v>0</v>
      </c>
      <c r="G70" s="310">
        <v>1568</v>
      </c>
      <c r="H70" s="216">
        <v>2058675.18</v>
      </c>
      <c r="I70" s="216">
        <v>380453.13</v>
      </c>
      <c r="J70" s="216">
        <v>-0.84</v>
      </c>
      <c r="K70" s="303">
        <v>225.37</v>
      </c>
    </row>
    <row r="71" spans="1:11">
      <c r="A71" s="292">
        <v>1407</v>
      </c>
      <c r="B71" s="216">
        <v>2056356.48</v>
      </c>
      <c r="C71" s="216">
        <v>383797.58</v>
      </c>
      <c r="D71" s="216">
        <v>22.26</v>
      </c>
      <c r="E71" s="309">
        <v>96.67</v>
      </c>
      <c r="G71" s="310">
        <v>1569</v>
      </c>
      <c r="H71" s="216">
        <v>2058619.48</v>
      </c>
      <c r="I71" s="216">
        <v>380418.48</v>
      </c>
      <c r="J71" s="216">
        <v>22.16</v>
      </c>
      <c r="K71" s="303">
        <v>281.07</v>
      </c>
    </row>
    <row r="72" spans="1:11">
      <c r="A72" s="292">
        <v>1408</v>
      </c>
      <c r="B72" s="216">
        <v>2056300.71</v>
      </c>
      <c r="C72" s="216">
        <v>383763.04</v>
      </c>
      <c r="D72" s="216">
        <v>-0.74</v>
      </c>
      <c r="E72" s="309">
        <v>152.44</v>
      </c>
      <c r="G72" s="415">
        <v>1570</v>
      </c>
      <c r="H72" s="414">
        <v>2058518.43</v>
      </c>
      <c r="I72" s="414">
        <v>380355.63</v>
      </c>
      <c r="J72" s="414">
        <v>44.33</v>
      </c>
      <c r="K72" s="304">
        <v>382.12</v>
      </c>
    </row>
    <row r="73" spans="1:11">
      <c r="A73" s="292">
        <v>1409</v>
      </c>
      <c r="B73" s="216">
        <v>2056201.93</v>
      </c>
      <c r="C73" s="216">
        <v>383701.85</v>
      </c>
      <c r="D73" s="216">
        <v>-0.74</v>
      </c>
      <c r="E73" s="309">
        <v>251.22</v>
      </c>
      <c r="K73" s="303"/>
    </row>
    <row r="74" spans="1:11">
      <c r="A74" s="292">
        <v>1410</v>
      </c>
      <c r="B74" s="216">
        <v>2056146.16</v>
      </c>
      <c r="C74" s="216">
        <v>383667.31</v>
      </c>
      <c r="D74" s="216">
        <v>22.26</v>
      </c>
      <c r="E74" s="413">
        <v>306.99</v>
      </c>
      <c r="G74" s="330" t="s">
        <v>293</v>
      </c>
      <c r="K74" s="303"/>
    </row>
    <row r="75" spans="1:11">
      <c r="A75" s="311">
        <v>1411</v>
      </c>
      <c r="B75" s="414">
        <v>2056113.09</v>
      </c>
      <c r="C75" s="414">
        <v>383646.83</v>
      </c>
      <c r="D75" s="414">
        <v>32.299999999999997</v>
      </c>
      <c r="E75" s="230">
        <v>340.06</v>
      </c>
      <c r="G75" s="230" t="s">
        <v>287</v>
      </c>
      <c r="H75" s="230" t="s">
        <v>275</v>
      </c>
      <c r="I75" s="230" t="s">
        <v>276</v>
      </c>
      <c r="J75" s="230" t="s">
        <v>277</v>
      </c>
      <c r="K75" s="304" t="s">
        <v>278</v>
      </c>
    </row>
    <row r="76" spans="1:11">
      <c r="A76" s="311"/>
      <c r="G76" s="216">
        <v>1717</v>
      </c>
      <c r="H76" s="216">
        <v>2060560.36</v>
      </c>
      <c r="I76" s="216">
        <v>377186.21</v>
      </c>
      <c r="J76" s="216">
        <v>40.590000000000003</v>
      </c>
      <c r="K76" s="303">
        <v>0</v>
      </c>
    </row>
    <row r="77" spans="1:11">
      <c r="A77" s="276" t="s">
        <v>294</v>
      </c>
      <c r="G77" s="216">
        <v>1718</v>
      </c>
      <c r="H77" s="216">
        <v>2060482.04</v>
      </c>
      <c r="I77" s="216">
        <v>377157.24</v>
      </c>
      <c r="J77" s="216">
        <v>21.78</v>
      </c>
      <c r="K77" s="303">
        <v>78.319999999999993</v>
      </c>
    </row>
    <row r="78" spans="1:11">
      <c r="A78" s="276" t="s">
        <v>287</v>
      </c>
      <c r="B78" s="230" t="s">
        <v>275</v>
      </c>
      <c r="C78" s="230" t="s">
        <v>276</v>
      </c>
      <c r="D78" s="230" t="s">
        <v>277</v>
      </c>
      <c r="E78" s="230" t="s">
        <v>278</v>
      </c>
      <c r="G78" s="216">
        <v>1719</v>
      </c>
      <c r="H78" s="216">
        <v>2060420.52</v>
      </c>
      <c r="I78" s="216">
        <v>377134.48</v>
      </c>
      <c r="J78" s="216">
        <v>-1.22</v>
      </c>
      <c r="K78" s="303">
        <v>139.84</v>
      </c>
    </row>
    <row r="79" spans="1:11">
      <c r="A79" s="289">
        <v>1644</v>
      </c>
      <c r="B79" s="305">
        <v>2059548.98</v>
      </c>
      <c r="C79" s="305">
        <v>379002.83</v>
      </c>
      <c r="D79" s="305">
        <v>30.99</v>
      </c>
      <c r="E79" s="306">
        <v>0</v>
      </c>
      <c r="G79" s="216">
        <v>1720</v>
      </c>
      <c r="H79" s="216">
        <v>2060311.53</v>
      </c>
      <c r="I79" s="216">
        <v>377094.17</v>
      </c>
      <c r="J79" s="216">
        <v>-1.22</v>
      </c>
      <c r="K79" s="303">
        <v>248.83</v>
      </c>
    </row>
    <row r="80" spans="1:11">
      <c r="A80" s="292">
        <v>1645</v>
      </c>
      <c r="B80" s="216">
        <v>2059534.08</v>
      </c>
      <c r="C80" s="216">
        <v>378996.23</v>
      </c>
      <c r="D80" s="216">
        <v>21.71</v>
      </c>
      <c r="E80" s="309">
        <v>14.9</v>
      </c>
      <c r="G80" s="216">
        <v>1721</v>
      </c>
      <c r="H80" s="216">
        <v>2060250.01</v>
      </c>
      <c r="I80" s="216">
        <v>377071.41</v>
      </c>
      <c r="J80" s="216">
        <v>21.78</v>
      </c>
      <c r="K80" s="416">
        <v>310.35000000000002</v>
      </c>
    </row>
    <row r="81" spans="1:13">
      <c r="A81" s="292">
        <v>1646</v>
      </c>
      <c r="B81" s="216">
        <v>2059474.09</v>
      </c>
      <c r="C81" s="216">
        <v>378969.66</v>
      </c>
      <c r="D81" s="216">
        <v>-1.29</v>
      </c>
      <c r="E81" s="309">
        <v>74.89</v>
      </c>
      <c r="G81" s="216">
        <v>1722</v>
      </c>
      <c r="H81" s="216">
        <v>2060232.09</v>
      </c>
      <c r="I81" s="216">
        <v>377064.78</v>
      </c>
      <c r="J81" s="216">
        <v>37.79</v>
      </c>
      <c r="K81" s="304">
        <v>328.27</v>
      </c>
    </row>
    <row r="82" spans="1:13">
      <c r="A82" s="292">
        <v>1647</v>
      </c>
      <c r="B82" s="216">
        <v>2059367.84</v>
      </c>
      <c r="C82" s="216">
        <v>378922.61</v>
      </c>
      <c r="D82" s="216">
        <v>-1.29</v>
      </c>
      <c r="E82" s="309">
        <v>181.14</v>
      </c>
      <c r="K82" s="303"/>
    </row>
    <row r="83" spans="1:13">
      <c r="A83" s="292">
        <v>1648</v>
      </c>
      <c r="B83" s="216">
        <v>2059307.86</v>
      </c>
      <c r="C83" s="216">
        <v>378896.05</v>
      </c>
      <c r="D83" s="216">
        <v>21.71</v>
      </c>
      <c r="E83" s="413">
        <v>241.12</v>
      </c>
      <c r="G83" s="230" t="s">
        <v>295</v>
      </c>
      <c r="K83" s="303"/>
    </row>
    <row r="84" spans="1:13">
      <c r="A84" s="311">
        <v>1649</v>
      </c>
      <c r="B84" s="414">
        <v>2059274.67</v>
      </c>
      <c r="C84" s="414">
        <v>378881.35</v>
      </c>
      <c r="D84" s="414">
        <v>36.479999999999997</v>
      </c>
      <c r="E84" s="230">
        <v>274.31</v>
      </c>
      <c r="G84" s="230" t="s">
        <v>287</v>
      </c>
      <c r="H84" s="230" t="s">
        <v>275</v>
      </c>
      <c r="I84" s="230" t="s">
        <v>276</v>
      </c>
      <c r="J84" s="230" t="s">
        <v>277</v>
      </c>
      <c r="K84" s="304" t="s">
        <v>278</v>
      </c>
    </row>
    <row r="85" spans="1:13">
      <c r="A85" s="292"/>
      <c r="G85" s="307">
        <v>2042</v>
      </c>
      <c r="H85" s="305">
        <v>2061270.28</v>
      </c>
      <c r="I85" s="305">
        <v>371303.6</v>
      </c>
      <c r="J85" s="305">
        <v>30.59</v>
      </c>
      <c r="K85" s="308">
        <v>0</v>
      </c>
      <c r="M85" s="232"/>
    </row>
    <row r="86" spans="1:13">
      <c r="A86" s="276" t="s">
        <v>296</v>
      </c>
      <c r="G86" s="310">
        <v>2043</v>
      </c>
      <c r="H86" s="216">
        <v>2061246</v>
      </c>
      <c r="I86" s="216">
        <v>371289.86</v>
      </c>
      <c r="J86" s="216">
        <v>20.100000000000001</v>
      </c>
      <c r="K86" s="303">
        <v>24.28</v>
      </c>
      <c r="M86" s="241"/>
    </row>
    <row r="87" spans="1:13">
      <c r="A87" s="276" t="s">
        <v>287</v>
      </c>
      <c r="B87" s="230" t="s">
        <v>275</v>
      </c>
      <c r="C87" s="230" t="s">
        <v>276</v>
      </c>
      <c r="D87" s="230" t="s">
        <v>277</v>
      </c>
      <c r="E87" s="230" t="s">
        <v>278</v>
      </c>
      <c r="G87" s="310">
        <v>2044</v>
      </c>
      <c r="H87" s="216">
        <v>2061178.81</v>
      </c>
      <c r="I87" s="216">
        <v>371251.84</v>
      </c>
      <c r="J87" s="216">
        <v>-2.9</v>
      </c>
      <c r="K87" s="303">
        <v>91.47</v>
      </c>
      <c r="M87" s="241"/>
    </row>
    <row r="88" spans="1:13">
      <c r="A88" s="289">
        <v>1825</v>
      </c>
      <c r="B88" s="305">
        <v>2060294.66</v>
      </c>
      <c r="C88" s="305">
        <v>374662.58</v>
      </c>
      <c r="D88" s="305">
        <v>23.04</v>
      </c>
      <c r="E88" s="306">
        <v>0</v>
      </c>
      <c r="G88" s="310">
        <v>2045</v>
      </c>
      <c r="H88" s="216">
        <v>2061091.86</v>
      </c>
      <c r="I88" s="216">
        <v>371202.63</v>
      </c>
      <c r="J88" s="216">
        <v>-2.9</v>
      </c>
      <c r="K88" s="303">
        <v>178.42</v>
      </c>
      <c r="M88" s="241"/>
    </row>
    <row r="89" spans="1:13">
      <c r="A89" s="292">
        <v>1826</v>
      </c>
      <c r="B89" s="216">
        <v>2060270.38</v>
      </c>
      <c r="C89" s="216">
        <v>374661.47</v>
      </c>
      <c r="D89" s="216">
        <v>20.21</v>
      </c>
      <c r="E89" s="309">
        <v>24.28</v>
      </c>
      <c r="G89" s="310">
        <v>2046</v>
      </c>
      <c r="H89" s="216">
        <v>2061041.99</v>
      </c>
      <c r="I89" s="216">
        <v>371174.41</v>
      </c>
      <c r="J89" s="216">
        <v>20.100000000000001</v>
      </c>
      <c r="K89" s="303">
        <v>228.29</v>
      </c>
      <c r="M89" s="241"/>
    </row>
    <row r="90" spans="1:13">
      <c r="A90" s="292">
        <v>1827</v>
      </c>
      <c r="B90" s="216">
        <v>2060201.46</v>
      </c>
      <c r="C90" s="216">
        <v>374658.34</v>
      </c>
      <c r="D90" s="216">
        <v>-2.79</v>
      </c>
      <c r="E90" s="309">
        <v>93.2</v>
      </c>
      <c r="G90" s="415">
        <v>2047</v>
      </c>
      <c r="H90" s="414">
        <v>2060965.67</v>
      </c>
      <c r="I90" s="414">
        <v>371131.22</v>
      </c>
      <c r="J90" s="414">
        <v>42.37</v>
      </c>
      <c r="K90" s="331">
        <v>304.61</v>
      </c>
      <c r="M90" s="241"/>
    </row>
    <row r="91" spans="1:13">
      <c r="A91" s="292">
        <v>1828</v>
      </c>
      <c r="B91" s="216">
        <v>2060079.18</v>
      </c>
      <c r="C91" s="216">
        <v>374652.77</v>
      </c>
      <c r="D91" s="216">
        <v>-2.79</v>
      </c>
      <c r="E91" s="309">
        <v>215.48</v>
      </c>
      <c r="K91" s="303"/>
      <c r="M91" s="241"/>
    </row>
    <row r="92" spans="1:13">
      <c r="A92" s="292">
        <v>1829</v>
      </c>
      <c r="B92" s="216">
        <v>2060010.25</v>
      </c>
      <c r="C92" s="216">
        <v>374649.64</v>
      </c>
      <c r="D92" s="216">
        <v>20.21</v>
      </c>
      <c r="E92" s="413">
        <v>284.41000000000003</v>
      </c>
      <c r="K92" s="303"/>
    </row>
    <row r="93" spans="1:13">
      <c r="A93" s="311">
        <v>1830</v>
      </c>
      <c r="B93" s="414">
        <v>2059994.97</v>
      </c>
      <c r="C93" s="414">
        <v>374648.94</v>
      </c>
      <c r="D93" s="414">
        <v>35.89</v>
      </c>
      <c r="E93" s="230">
        <v>299.69</v>
      </c>
      <c r="K93" s="303"/>
    </row>
    <row r="94" spans="1:13">
      <c r="A94" s="292"/>
      <c r="K94" s="303"/>
    </row>
    <row r="95" spans="1:13">
      <c r="A95" s="276" t="s">
        <v>297</v>
      </c>
      <c r="K95" s="303"/>
    </row>
    <row r="96" spans="1:13">
      <c r="A96" s="276" t="s">
        <v>287</v>
      </c>
      <c r="B96" s="315" t="s">
        <v>275</v>
      </c>
      <c r="C96" s="230" t="s">
        <v>276</v>
      </c>
      <c r="D96" s="230" t="s">
        <v>277</v>
      </c>
      <c r="E96" s="230" t="s">
        <v>278</v>
      </c>
      <c r="K96" s="303"/>
    </row>
    <row r="97" spans="1:11">
      <c r="A97" s="289">
        <v>1931</v>
      </c>
      <c r="B97" s="305">
        <v>2060424.42</v>
      </c>
      <c r="C97" s="305">
        <v>373459.15</v>
      </c>
      <c r="D97" s="305">
        <v>40.67</v>
      </c>
      <c r="E97" s="306">
        <v>0</v>
      </c>
      <c r="K97" s="303"/>
    </row>
    <row r="98" spans="1:11">
      <c r="A98" s="292">
        <v>1932</v>
      </c>
      <c r="B98" s="216">
        <v>2060377.6</v>
      </c>
      <c r="C98" s="216">
        <v>373441.6</v>
      </c>
      <c r="D98" s="216">
        <v>23.21</v>
      </c>
      <c r="E98" s="309">
        <v>46.82</v>
      </c>
      <c r="K98" s="303"/>
    </row>
    <row r="99" spans="1:11">
      <c r="A99" s="292">
        <v>1933</v>
      </c>
      <c r="B99" s="216">
        <v>2060371.99</v>
      </c>
      <c r="C99" s="216">
        <v>373439.49</v>
      </c>
      <c r="D99" s="216">
        <v>20.399999999999999</v>
      </c>
      <c r="E99" s="309">
        <v>52.43</v>
      </c>
      <c r="K99" s="303"/>
    </row>
    <row r="100" spans="1:11">
      <c r="A100" s="292">
        <v>1934</v>
      </c>
      <c r="B100" s="216">
        <v>2060310.56</v>
      </c>
      <c r="C100" s="216">
        <v>373416.47</v>
      </c>
      <c r="D100" s="216">
        <v>-2.6</v>
      </c>
      <c r="E100" s="309">
        <v>113.86</v>
      </c>
      <c r="K100" s="303"/>
    </row>
    <row r="101" spans="1:11">
      <c r="A101" s="292">
        <v>1935</v>
      </c>
      <c r="B101" s="216">
        <v>2060201.75</v>
      </c>
      <c r="C101" s="216">
        <v>373375.69</v>
      </c>
      <c r="D101" s="216">
        <v>-2.6</v>
      </c>
      <c r="E101" s="309">
        <v>222.67</v>
      </c>
      <c r="K101" s="303"/>
    </row>
    <row r="102" spans="1:11">
      <c r="A102" s="292">
        <v>1936</v>
      </c>
      <c r="B102" s="216">
        <v>2060140.32</v>
      </c>
      <c r="C102" s="216">
        <v>373352.67</v>
      </c>
      <c r="D102" s="216">
        <v>20.399999999999999</v>
      </c>
      <c r="E102" s="309">
        <v>284.10000000000002</v>
      </c>
      <c r="K102" s="303"/>
    </row>
    <row r="103" spans="1:11">
      <c r="A103" s="311">
        <v>1937</v>
      </c>
      <c r="B103" s="414">
        <v>2060096.68</v>
      </c>
      <c r="C103" s="414">
        <v>373336.31</v>
      </c>
      <c r="D103" s="414">
        <v>31.19</v>
      </c>
      <c r="E103" s="230">
        <v>327.74</v>
      </c>
      <c r="K103" s="303"/>
    </row>
    <row r="104" spans="1:11">
      <c r="A104" s="292"/>
      <c r="K104" s="303"/>
    </row>
    <row r="105" spans="1:11">
      <c r="A105" s="338" t="s">
        <v>298</v>
      </c>
      <c r="B105" s="353">
        <f>AVERAGE(E103,E93,K90,E84,K81,K72,E75,E66,K63,K53,E57,E47,E32,K34,E23,K25)</f>
        <v>323.46187499999996</v>
      </c>
      <c r="K105" s="303"/>
    </row>
    <row r="106" spans="1:11">
      <c r="A106" s="377" t="s">
        <v>299</v>
      </c>
      <c r="B106" s="378"/>
      <c r="C106" s="378"/>
      <c r="D106" s="378"/>
      <c r="E106" s="378"/>
      <c r="F106" s="378"/>
      <c r="K106" s="303"/>
    </row>
    <row r="107" spans="1:11" ht="13.5" thickBot="1">
      <c r="A107" s="379"/>
      <c r="B107" s="380"/>
      <c r="C107" s="380"/>
      <c r="D107" s="380"/>
      <c r="E107" s="380"/>
      <c r="F107" s="380"/>
      <c r="G107" s="297"/>
      <c r="H107" s="297"/>
      <c r="I107" s="297"/>
      <c r="J107" s="297"/>
      <c r="K107" s="332"/>
    </row>
    <row r="109" spans="1:11" ht="13.5" thickBot="1">
      <c r="A109" s="336" t="s">
        <v>300</v>
      </c>
      <c r="B109" s="337"/>
      <c r="C109" s="337"/>
      <c r="D109" s="337"/>
      <c r="E109" s="337"/>
      <c r="F109" s="337"/>
      <c r="G109" s="337"/>
      <c r="H109" s="337"/>
      <c r="I109" s="337"/>
      <c r="J109" s="337"/>
    </row>
    <row r="110" spans="1:11">
      <c r="A110" s="381" t="s">
        <v>301</v>
      </c>
      <c r="B110" s="382"/>
      <c r="C110" s="382"/>
      <c r="D110" s="382"/>
      <c r="E110" s="382"/>
      <c r="F110" s="382"/>
      <c r="G110" s="382"/>
      <c r="H110" s="382"/>
      <c r="I110" s="382"/>
      <c r="J110" s="383"/>
    </row>
    <row r="111" spans="1:11" ht="66.75">
      <c r="A111" s="220" t="s">
        <v>244</v>
      </c>
      <c r="B111" s="221" t="s">
        <v>302</v>
      </c>
      <c r="C111" s="222" t="s">
        <v>303</v>
      </c>
      <c r="D111" s="223" t="s">
        <v>304</v>
      </c>
      <c r="E111" s="224" t="s">
        <v>305</v>
      </c>
      <c r="F111" s="225" t="s">
        <v>306</v>
      </c>
      <c r="G111" s="225" t="s">
        <v>307</v>
      </c>
      <c r="H111" s="223" t="s">
        <v>308</v>
      </c>
      <c r="I111" s="226" t="s">
        <v>309</v>
      </c>
      <c r="J111" s="227" t="s">
        <v>310</v>
      </c>
    </row>
    <row r="112" spans="1:11">
      <c r="A112" s="233">
        <v>43923</v>
      </c>
      <c r="B112" s="234">
        <v>4510</v>
      </c>
      <c r="C112" s="235">
        <v>3.39</v>
      </c>
      <c r="D112" s="236">
        <v>0</v>
      </c>
      <c r="E112" s="237">
        <f t="shared" ref="E112:E113" si="3">CONVERT(B112,"ft3","L")</f>
        <v>127708.97812992001</v>
      </c>
      <c r="F112" s="238">
        <f>$B$105</f>
        <v>323.46187499999996</v>
      </c>
      <c r="G112" s="238">
        <f t="shared" ref="G112:G113" si="4">16.5+C112</f>
        <v>19.89</v>
      </c>
      <c r="H112" s="239">
        <v>2</v>
      </c>
      <c r="I112" s="240">
        <f t="shared" ref="I112:I113" si="5">(F112*G112)-((G112^2)*H112)</f>
        <v>5642.4324937499996</v>
      </c>
      <c r="J112" s="348">
        <f t="shared" ref="J112:J113" si="6">B112/I112</f>
        <v>0.7993006571182959</v>
      </c>
    </row>
    <row r="113" spans="1:17">
      <c r="A113" s="233">
        <v>43924</v>
      </c>
      <c r="B113" s="234">
        <v>3210</v>
      </c>
      <c r="C113" s="235">
        <v>2.79</v>
      </c>
      <c r="D113" s="236">
        <v>0</v>
      </c>
      <c r="E113" s="237">
        <f t="shared" si="3"/>
        <v>90897.077560320002</v>
      </c>
      <c r="F113" s="238">
        <f>$B$105</f>
        <v>323.46187499999996</v>
      </c>
      <c r="G113" s="238">
        <f t="shared" si="4"/>
        <v>19.29</v>
      </c>
      <c r="H113" s="239">
        <v>2</v>
      </c>
      <c r="I113" s="240">
        <f t="shared" si="5"/>
        <v>5495.3713687499994</v>
      </c>
      <c r="J113" s="348">
        <f t="shared" si="6"/>
        <v>0.58412794779512056</v>
      </c>
    </row>
    <row r="114" spans="1:17" ht="13.5" thickBot="1">
      <c r="A114" s="242"/>
      <c r="B114" s="243"/>
      <c r="C114" s="244"/>
      <c r="D114" s="244"/>
      <c r="E114" s="245"/>
      <c r="F114" s="246"/>
      <c r="G114" s="246"/>
      <c r="H114" s="247"/>
      <c r="I114" s="248" t="s">
        <v>311</v>
      </c>
      <c r="J114" s="249">
        <f>AVERAGE(J112:J113)</f>
        <v>0.69171430245670829</v>
      </c>
    </row>
    <row r="116" spans="1:17" ht="13.5" thickBot="1">
      <c r="A116" s="336" t="s">
        <v>312</v>
      </c>
      <c r="B116" s="337"/>
      <c r="C116" s="337"/>
      <c r="D116" s="337"/>
      <c r="E116" s="337"/>
      <c r="F116" s="337"/>
      <c r="G116" s="337"/>
      <c r="H116" s="337"/>
      <c r="I116" s="337"/>
      <c r="J116" s="337"/>
      <c r="K116" s="337"/>
      <c r="L116" s="337"/>
      <c r="M116" s="337"/>
      <c r="N116" s="337"/>
      <c r="O116" s="337"/>
      <c r="P116" s="337"/>
      <c r="Q116" s="337"/>
    </row>
    <row r="117" spans="1:17" ht="15">
      <c r="A117" s="262" t="s">
        <v>313</v>
      </c>
      <c r="B117" s="263"/>
      <c r="C117" s="263"/>
      <c r="D117" s="263"/>
      <c r="E117" s="263"/>
      <c r="F117" s="264"/>
      <c r="G117" s="264"/>
      <c r="H117" s="265"/>
      <c r="I117" s="266"/>
      <c r="J117" s="267"/>
      <c r="K117" s="268"/>
      <c r="L117" s="268"/>
      <c r="M117" s="268"/>
      <c r="N117" s="268"/>
      <c r="O117" s="268"/>
      <c r="P117" s="268"/>
      <c r="Q117" s="269"/>
    </row>
    <row r="118" spans="1:17">
      <c r="A118" s="273" t="s">
        <v>51</v>
      </c>
      <c r="B118" s="274" t="s">
        <v>314</v>
      </c>
      <c r="C118" s="274" t="s">
        <v>314</v>
      </c>
      <c r="D118" s="274" t="s">
        <v>315</v>
      </c>
      <c r="E118" s="274" t="s">
        <v>315</v>
      </c>
      <c r="F118" s="274" t="s">
        <v>316</v>
      </c>
      <c r="G118" s="274" t="s">
        <v>316</v>
      </c>
      <c r="H118" s="274" t="s">
        <v>317</v>
      </c>
      <c r="I118" s="274" t="s">
        <v>317</v>
      </c>
      <c r="J118" s="274" t="s">
        <v>318</v>
      </c>
      <c r="K118" s="274" t="s">
        <v>318</v>
      </c>
      <c r="L118" s="274" t="s">
        <v>319</v>
      </c>
      <c r="M118" s="274" t="s">
        <v>319</v>
      </c>
      <c r="N118" s="274" t="s">
        <v>320</v>
      </c>
      <c r="O118" s="274" t="s">
        <v>320</v>
      </c>
      <c r="P118" s="274" t="s">
        <v>321</v>
      </c>
      <c r="Q118" s="275" t="s">
        <v>322</v>
      </c>
    </row>
    <row r="119" spans="1:17">
      <c r="A119" s="273" t="s">
        <v>161</v>
      </c>
      <c r="B119" s="274" t="s">
        <v>323</v>
      </c>
      <c r="C119" s="274" t="s">
        <v>324</v>
      </c>
      <c r="D119" s="274" t="s">
        <v>325</v>
      </c>
      <c r="E119" s="274" t="s">
        <v>326</v>
      </c>
      <c r="F119" s="274" t="s">
        <v>327</v>
      </c>
      <c r="G119" s="274" t="s">
        <v>328</v>
      </c>
      <c r="H119" s="274" t="s">
        <v>329</v>
      </c>
      <c r="I119" s="274" t="s">
        <v>330</v>
      </c>
      <c r="J119" s="274" t="s">
        <v>331</v>
      </c>
      <c r="K119" s="274" t="s">
        <v>332</v>
      </c>
      <c r="L119" s="274" t="s">
        <v>333</v>
      </c>
      <c r="M119" s="274" t="s">
        <v>334</v>
      </c>
      <c r="N119" s="274" t="s">
        <v>335</v>
      </c>
      <c r="O119" s="274" t="s">
        <v>336</v>
      </c>
      <c r="P119" s="274" t="s">
        <v>337</v>
      </c>
      <c r="Q119" s="275" t="s">
        <v>338</v>
      </c>
    </row>
    <row r="120" spans="1:17">
      <c r="A120" s="273" t="s">
        <v>53</v>
      </c>
      <c r="B120" s="284">
        <v>43760</v>
      </c>
      <c r="C120" s="284">
        <v>43894</v>
      </c>
      <c r="D120" s="284">
        <v>43760</v>
      </c>
      <c r="E120" s="284">
        <v>43894</v>
      </c>
      <c r="F120" s="284">
        <v>43760</v>
      </c>
      <c r="G120" s="284">
        <v>43894</v>
      </c>
      <c r="H120" s="284">
        <v>43760</v>
      </c>
      <c r="I120" s="284">
        <v>43894</v>
      </c>
      <c r="J120" s="284">
        <v>43760</v>
      </c>
      <c r="K120" s="284">
        <v>43894</v>
      </c>
      <c r="L120" s="284">
        <v>43760</v>
      </c>
      <c r="M120" s="284">
        <v>43894</v>
      </c>
      <c r="N120" s="284">
        <v>43760</v>
      </c>
      <c r="O120" s="284">
        <v>43894</v>
      </c>
      <c r="P120" s="284">
        <v>43760</v>
      </c>
      <c r="Q120" s="285">
        <v>43760</v>
      </c>
    </row>
    <row r="121" spans="1:17">
      <c r="A121" s="273" t="s">
        <v>339</v>
      </c>
      <c r="B121" s="286" t="s">
        <v>62</v>
      </c>
      <c r="C121" s="286" t="s">
        <v>62</v>
      </c>
      <c r="D121" s="286" t="s">
        <v>62</v>
      </c>
      <c r="E121" s="286" t="s">
        <v>62</v>
      </c>
      <c r="F121" s="286" t="s">
        <v>62</v>
      </c>
      <c r="G121" s="286" t="s">
        <v>62</v>
      </c>
      <c r="H121" s="286" t="s">
        <v>62</v>
      </c>
      <c r="I121" s="286" t="s">
        <v>62</v>
      </c>
      <c r="J121" s="286" t="s">
        <v>62</v>
      </c>
      <c r="K121" s="286" t="s">
        <v>62</v>
      </c>
      <c r="L121" s="286" t="s">
        <v>62</v>
      </c>
      <c r="M121" s="286" t="s">
        <v>62</v>
      </c>
      <c r="N121" s="286" t="s">
        <v>62</v>
      </c>
      <c r="O121" s="286" t="s">
        <v>62</v>
      </c>
      <c r="P121" s="286" t="s">
        <v>62</v>
      </c>
      <c r="Q121" s="287" t="s">
        <v>62</v>
      </c>
    </row>
    <row r="122" spans="1:17">
      <c r="A122" s="273" t="s">
        <v>340</v>
      </c>
      <c r="B122" s="274" t="s">
        <v>341</v>
      </c>
      <c r="C122" s="274" t="s">
        <v>342</v>
      </c>
      <c r="D122" s="274" t="s">
        <v>341</v>
      </c>
      <c r="E122" s="274" t="s">
        <v>342</v>
      </c>
      <c r="F122" s="274" t="s">
        <v>341</v>
      </c>
      <c r="G122" s="274" t="s">
        <v>342</v>
      </c>
      <c r="H122" s="274" t="s">
        <v>341</v>
      </c>
      <c r="I122" s="274" t="s">
        <v>342</v>
      </c>
      <c r="J122" s="274" t="s">
        <v>341</v>
      </c>
      <c r="K122" s="274" t="s">
        <v>342</v>
      </c>
      <c r="L122" s="274" t="s">
        <v>341</v>
      </c>
      <c r="M122" s="274" t="s">
        <v>342</v>
      </c>
      <c r="N122" s="274" t="s">
        <v>341</v>
      </c>
      <c r="O122" s="274" t="s">
        <v>342</v>
      </c>
      <c r="P122" s="274" t="s">
        <v>341</v>
      </c>
      <c r="Q122" s="275" t="s">
        <v>341</v>
      </c>
    </row>
    <row r="123" spans="1:17">
      <c r="A123" s="273" t="s">
        <v>343</v>
      </c>
      <c r="B123" s="274" t="s">
        <v>341</v>
      </c>
      <c r="C123" s="274" t="s">
        <v>344</v>
      </c>
      <c r="D123" s="274" t="s">
        <v>345</v>
      </c>
      <c r="E123" s="274" t="s">
        <v>346</v>
      </c>
      <c r="F123" s="274" t="s">
        <v>347</v>
      </c>
      <c r="G123" s="274" t="s">
        <v>348</v>
      </c>
      <c r="H123" s="274" t="s">
        <v>349</v>
      </c>
      <c r="I123" s="274" t="s">
        <v>350</v>
      </c>
      <c r="J123" s="274" t="s">
        <v>351</v>
      </c>
      <c r="K123" s="274" t="s">
        <v>352</v>
      </c>
      <c r="L123" s="274" t="s">
        <v>353</v>
      </c>
      <c r="M123" s="274" t="s">
        <v>354</v>
      </c>
      <c r="N123" s="274" t="s">
        <v>355</v>
      </c>
      <c r="O123" s="274" t="s">
        <v>356</v>
      </c>
      <c r="P123" s="274" t="s">
        <v>357</v>
      </c>
      <c r="Q123" s="275" t="s">
        <v>358</v>
      </c>
    </row>
    <row r="124" spans="1:17" ht="13.5">
      <c r="A124" s="291" t="s">
        <v>359</v>
      </c>
      <c r="B124" s="274"/>
      <c r="C124" s="274"/>
      <c r="D124" s="274"/>
      <c r="E124" s="274"/>
      <c r="F124" s="274"/>
      <c r="G124" s="274"/>
      <c r="H124" s="274"/>
      <c r="I124" s="274"/>
      <c r="J124" s="274"/>
      <c r="K124" s="274"/>
      <c r="L124" s="274"/>
      <c r="M124" s="274"/>
      <c r="N124" s="274"/>
      <c r="O124" s="274"/>
      <c r="P124" s="274"/>
      <c r="Q124" s="275"/>
    </row>
    <row r="125" spans="1:17">
      <c r="A125" s="293" t="s">
        <v>360</v>
      </c>
      <c r="B125" s="294" t="s">
        <v>361</v>
      </c>
      <c r="C125" s="295" t="s">
        <v>362</v>
      </c>
      <c r="D125" s="294" t="s">
        <v>363</v>
      </c>
      <c r="E125" s="294" t="s">
        <v>363</v>
      </c>
      <c r="F125" s="295" t="s">
        <v>364</v>
      </c>
      <c r="G125" s="295" t="s">
        <v>365</v>
      </c>
      <c r="H125" s="295" t="s">
        <v>366</v>
      </c>
      <c r="I125" s="295" t="s">
        <v>367</v>
      </c>
      <c r="J125" s="295" t="s">
        <v>368</v>
      </c>
      <c r="K125" s="295" t="s">
        <v>369</v>
      </c>
      <c r="L125" s="295" t="s">
        <v>370</v>
      </c>
      <c r="M125" s="295" t="s">
        <v>371</v>
      </c>
      <c r="N125" s="295" t="s">
        <v>372</v>
      </c>
      <c r="O125" s="295" t="s">
        <v>373</v>
      </c>
      <c r="P125" s="295" t="s">
        <v>374</v>
      </c>
      <c r="Q125" s="296" t="s">
        <v>368</v>
      </c>
    </row>
    <row r="126" spans="1:17">
      <c r="A126" s="293" t="s">
        <v>375</v>
      </c>
      <c r="B126" s="294" t="s">
        <v>376</v>
      </c>
      <c r="C126" s="295" t="s">
        <v>377</v>
      </c>
      <c r="D126" s="295" t="s">
        <v>378</v>
      </c>
      <c r="E126" s="295" t="s">
        <v>365</v>
      </c>
      <c r="F126" s="295" t="s">
        <v>379</v>
      </c>
      <c r="G126" s="295" t="s">
        <v>380</v>
      </c>
      <c r="H126" s="295" t="s">
        <v>381</v>
      </c>
      <c r="I126" s="295" t="s">
        <v>382</v>
      </c>
      <c r="J126" s="295" t="s">
        <v>383</v>
      </c>
      <c r="K126" s="295" t="s">
        <v>384</v>
      </c>
      <c r="L126" s="294" t="s">
        <v>385</v>
      </c>
      <c r="M126" s="295" t="s">
        <v>381</v>
      </c>
      <c r="N126" s="295" t="s">
        <v>386</v>
      </c>
      <c r="O126" s="295" t="s">
        <v>387</v>
      </c>
      <c r="P126" s="295" t="s">
        <v>383</v>
      </c>
      <c r="Q126" s="296" t="s">
        <v>388</v>
      </c>
    </row>
    <row r="127" spans="1:17">
      <c r="A127" s="293" t="s">
        <v>389</v>
      </c>
      <c r="B127" s="295" t="s">
        <v>390</v>
      </c>
      <c r="C127" s="295" t="s">
        <v>369</v>
      </c>
      <c r="D127" s="295" t="s">
        <v>391</v>
      </c>
      <c r="E127" s="295" t="s">
        <v>372</v>
      </c>
      <c r="F127" s="295" t="s">
        <v>369</v>
      </c>
      <c r="G127" s="295" t="s">
        <v>392</v>
      </c>
      <c r="H127" s="295" t="s">
        <v>393</v>
      </c>
      <c r="I127" s="295" t="s">
        <v>394</v>
      </c>
      <c r="J127" s="295" t="s">
        <v>395</v>
      </c>
      <c r="K127" s="295" t="s">
        <v>396</v>
      </c>
      <c r="L127" s="294" t="s">
        <v>397</v>
      </c>
      <c r="M127" s="295" t="s">
        <v>383</v>
      </c>
      <c r="N127" s="295" t="s">
        <v>398</v>
      </c>
      <c r="O127" s="295" t="s">
        <v>399</v>
      </c>
      <c r="P127" s="295" t="s">
        <v>380</v>
      </c>
      <c r="Q127" s="296" t="s">
        <v>379</v>
      </c>
    </row>
    <row r="128" spans="1:17">
      <c r="A128" s="293" t="s">
        <v>400</v>
      </c>
      <c r="B128" s="295" t="s">
        <v>401</v>
      </c>
      <c r="C128" s="295" t="s">
        <v>402</v>
      </c>
      <c r="D128" s="295" t="s">
        <v>383</v>
      </c>
      <c r="E128" s="295" t="s">
        <v>403</v>
      </c>
      <c r="F128" s="295" t="s">
        <v>404</v>
      </c>
      <c r="G128" s="295" t="s">
        <v>405</v>
      </c>
      <c r="H128" s="295" t="s">
        <v>406</v>
      </c>
      <c r="I128" s="295" t="s">
        <v>407</v>
      </c>
      <c r="J128" s="295" t="s">
        <v>408</v>
      </c>
      <c r="K128" s="295" t="s">
        <v>409</v>
      </c>
      <c r="L128" s="294" t="s">
        <v>410</v>
      </c>
      <c r="M128" s="295" t="s">
        <v>411</v>
      </c>
      <c r="N128" s="295" t="s">
        <v>412</v>
      </c>
      <c r="O128" s="295" t="s">
        <v>406</v>
      </c>
      <c r="P128" s="295" t="s">
        <v>409</v>
      </c>
      <c r="Q128" s="296" t="s">
        <v>413</v>
      </c>
    </row>
    <row r="129" spans="1:17">
      <c r="A129" s="293" t="s">
        <v>414</v>
      </c>
      <c r="B129" s="295" t="s">
        <v>402</v>
      </c>
      <c r="C129" s="295" t="s">
        <v>408</v>
      </c>
      <c r="D129" s="295" t="s">
        <v>415</v>
      </c>
      <c r="E129" s="295" t="s">
        <v>416</v>
      </c>
      <c r="F129" s="295" t="s">
        <v>417</v>
      </c>
      <c r="G129" s="295" t="s">
        <v>418</v>
      </c>
      <c r="H129" s="298" t="s">
        <v>419</v>
      </c>
      <c r="I129" s="298" t="s">
        <v>419</v>
      </c>
      <c r="J129" s="298" t="s">
        <v>419</v>
      </c>
      <c r="K129" s="298" t="s">
        <v>419</v>
      </c>
      <c r="L129" s="295" t="s">
        <v>420</v>
      </c>
      <c r="M129" s="295" t="s">
        <v>421</v>
      </c>
      <c r="N129" s="295" t="s">
        <v>422</v>
      </c>
      <c r="O129" s="295" t="s">
        <v>423</v>
      </c>
      <c r="P129" s="295" t="s">
        <v>424</v>
      </c>
      <c r="Q129" s="299" t="s">
        <v>419</v>
      </c>
    </row>
    <row r="130" spans="1:17">
      <c r="A130" s="293" t="s">
        <v>425</v>
      </c>
      <c r="B130" s="295" t="s">
        <v>426</v>
      </c>
      <c r="C130" s="298" t="s">
        <v>419</v>
      </c>
      <c r="D130" s="298" t="s">
        <v>419</v>
      </c>
      <c r="E130" s="298" t="s">
        <v>419</v>
      </c>
      <c r="F130" s="298" t="s">
        <v>419</v>
      </c>
      <c r="G130" s="298" t="s">
        <v>419</v>
      </c>
      <c r="H130" s="298" t="s">
        <v>419</v>
      </c>
      <c r="I130" s="298" t="s">
        <v>419</v>
      </c>
      <c r="J130" s="298" t="s">
        <v>419</v>
      </c>
      <c r="K130" s="298" t="s">
        <v>419</v>
      </c>
      <c r="L130" s="294" t="s">
        <v>427</v>
      </c>
      <c r="M130" s="295" t="s">
        <v>428</v>
      </c>
      <c r="N130" s="295" t="s">
        <v>429</v>
      </c>
      <c r="O130" s="298" t="s">
        <v>419</v>
      </c>
      <c r="P130" s="298" t="s">
        <v>419</v>
      </c>
      <c r="Q130" s="299" t="s">
        <v>419</v>
      </c>
    </row>
    <row r="131" spans="1:17">
      <c r="A131" s="293" t="s">
        <v>430</v>
      </c>
      <c r="B131" s="294" t="s">
        <v>431</v>
      </c>
      <c r="C131" s="294" t="s">
        <v>432</v>
      </c>
      <c r="D131" s="294" t="s">
        <v>433</v>
      </c>
      <c r="E131" s="294" t="s">
        <v>434</v>
      </c>
      <c r="F131" s="294" t="s">
        <v>435</v>
      </c>
      <c r="G131" s="294" t="s">
        <v>435</v>
      </c>
      <c r="H131" s="294" t="s">
        <v>361</v>
      </c>
      <c r="I131" s="294" t="s">
        <v>363</v>
      </c>
      <c r="J131" s="294" t="s">
        <v>361</v>
      </c>
      <c r="K131" s="294" t="s">
        <v>363</v>
      </c>
      <c r="L131" s="294" t="s">
        <v>436</v>
      </c>
      <c r="M131" s="295" t="s">
        <v>437</v>
      </c>
      <c r="N131" s="294" t="s">
        <v>438</v>
      </c>
      <c r="O131" s="294" t="s">
        <v>439</v>
      </c>
      <c r="P131" s="294" t="s">
        <v>361</v>
      </c>
      <c r="Q131" s="300" t="s">
        <v>438</v>
      </c>
    </row>
    <row r="132" spans="1:17">
      <c r="A132" s="293" t="s">
        <v>440</v>
      </c>
      <c r="B132" s="295" t="s">
        <v>441</v>
      </c>
      <c r="C132" s="295" t="s">
        <v>442</v>
      </c>
      <c r="D132" s="295" t="s">
        <v>443</v>
      </c>
      <c r="E132" s="295" t="s">
        <v>441</v>
      </c>
      <c r="F132" s="295" t="s">
        <v>373</v>
      </c>
      <c r="G132" s="295" t="s">
        <v>374</v>
      </c>
      <c r="H132" s="295" t="s">
        <v>444</v>
      </c>
      <c r="I132" s="295" t="s">
        <v>444</v>
      </c>
      <c r="J132" s="295" t="s">
        <v>377</v>
      </c>
      <c r="K132" s="295" t="s">
        <v>377</v>
      </c>
      <c r="L132" s="295" t="s">
        <v>445</v>
      </c>
      <c r="M132" s="295" t="s">
        <v>384</v>
      </c>
      <c r="N132" s="295" t="s">
        <v>446</v>
      </c>
      <c r="O132" s="295" t="s">
        <v>393</v>
      </c>
      <c r="P132" s="295" t="s">
        <v>393</v>
      </c>
      <c r="Q132" s="296" t="s">
        <v>392</v>
      </c>
    </row>
    <row r="133" spans="1:17">
      <c r="A133" s="301" t="s">
        <v>447</v>
      </c>
      <c r="B133" s="298" t="s">
        <v>419</v>
      </c>
      <c r="C133" s="298" t="s">
        <v>419</v>
      </c>
      <c r="D133" s="298" t="s">
        <v>419</v>
      </c>
      <c r="E133" s="298" t="s">
        <v>419</v>
      </c>
      <c r="F133" s="298" t="s">
        <v>419</v>
      </c>
      <c r="G133" s="298" t="s">
        <v>419</v>
      </c>
      <c r="H133" s="298" t="s">
        <v>419</v>
      </c>
      <c r="I133" s="298" t="s">
        <v>419</v>
      </c>
      <c r="J133" s="298" t="s">
        <v>419</v>
      </c>
      <c r="K133" s="298" t="s">
        <v>419</v>
      </c>
      <c r="L133" s="298" t="s">
        <v>419</v>
      </c>
      <c r="M133" s="298" t="s">
        <v>419</v>
      </c>
      <c r="N133" s="298" t="s">
        <v>419</v>
      </c>
      <c r="O133" s="298" t="s">
        <v>419</v>
      </c>
      <c r="P133" s="298" t="s">
        <v>419</v>
      </c>
      <c r="Q133" s="299" t="s">
        <v>419</v>
      </c>
    </row>
    <row r="134" spans="1:17">
      <c r="A134" s="301" t="s">
        <v>448</v>
      </c>
      <c r="B134" s="295" t="s">
        <v>449</v>
      </c>
      <c r="C134" s="295" t="s">
        <v>450</v>
      </c>
      <c r="D134" s="295" t="s">
        <v>451</v>
      </c>
      <c r="E134" s="295" t="s">
        <v>452</v>
      </c>
      <c r="F134" s="295" t="s">
        <v>453</v>
      </c>
      <c r="G134" s="295" t="s">
        <v>422</v>
      </c>
      <c r="H134" s="295" t="s">
        <v>411</v>
      </c>
      <c r="I134" s="295" t="s">
        <v>454</v>
      </c>
      <c r="J134" s="295" t="s">
        <v>455</v>
      </c>
      <c r="K134" s="295" t="s">
        <v>455</v>
      </c>
      <c r="L134" s="295" t="s">
        <v>456</v>
      </c>
      <c r="M134" s="295" t="s">
        <v>457</v>
      </c>
      <c r="N134" s="295" t="s">
        <v>458</v>
      </c>
      <c r="O134" s="295" t="s">
        <v>411</v>
      </c>
      <c r="P134" s="295" t="s">
        <v>459</v>
      </c>
      <c r="Q134" s="296" t="s">
        <v>406</v>
      </c>
    </row>
    <row r="135" spans="1:17">
      <c r="A135" s="301" t="s">
        <v>460</v>
      </c>
      <c r="B135" s="294" t="s">
        <v>461</v>
      </c>
      <c r="C135" s="294" t="s">
        <v>462</v>
      </c>
      <c r="D135" s="295" t="s">
        <v>463</v>
      </c>
      <c r="E135" s="294" t="s">
        <v>464</v>
      </c>
      <c r="F135" s="294" t="s">
        <v>465</v>
      </c>
      <c r="G135" s="294" t="s">
        <v>466</v>
      </c>
      <c r="H135" s="294" t="s">
        <v>467</v>
      </c>
      <c r="I135" s="294" t="s">
        <v>468</v>
      </c>
      <c r="J135" s="294" t="s">
        <v>462</v>
      </c>
      <c r="K135" s="295" t="s">
        <v>469</v>
      </c>
      <c r="L135" s="294" t="s">
        <v>470</v>
      </c>
      <c r="M135" s="295" t="s">
        <v>471</v>
      </c>
      <c r="N135" s="294" t="s">
        <v>472</v>
      </c>
      <c r="O135" s="295" t="s">
        <v>473</v>
      </c>
      <c r="P135" s="294" t="s">
        <v>410</v>
      </c>
      <c r="Q135" s="300" t="s">
        <v>474</v>
      </c>
    </row>
    <row r="136" spans="1:17">
      <c r="A136" s="301" t="s">
        <v>475</v>
      </c>
      <c r="B136" s="294" t="s">
        <v>476</v>
      </c>
      <c r="C136" s="298" t="s">
        <v>419</v>
      </c>
      <c r="D136" s="298" t="s">
        <v>477</v>
      </c>
      <c r="E136" s="298" t="s">
        <v>419</v>
      </c>
      <c r="F136" s="298" t="s">
        <v>419</v>
      </c>
      <c r="G136" s="298" t="s">
        <v>419</v>
      </c>
      <c r="H136" s="298" t="s">
        <v>419</v>
      </c>
      <c r="I136" s="298" t="s">
        <v>419</v>
      </c>
      <c r="J136" s="298" t="s">
        <v>419</v>
      </c>
      <c r="K136" s="298" t="s">
        <v>419</v>
      </c>
      <c r="L136" s="298" t="s">
        <v>419</v>
      </c>
      <c r="M136" s="298" t="s">
        <v>419</v>
      </c>
      <c r="N136" s="298" t="s">
        <v>419</v>
      </c>
      <c r="O136" s="298" t="s">
        <v>419</v>
      </c>
      <c r="P136" s="298" t="s">
        <v>419</v>
      </c>
      <c r="Q136" s="299" t="s">
        <v>419</v>
      </c>
    </row>
    <row r="137" spans="1:17">
      <c r="A137" s="301" t="s">
        <v>478</v>
      </c>
      <c r="B137" s="298" t="s">
        <v>419</v>
      </c>
      <c r="C137" s="298" t="s">
        <v>419</v>
      </c>
      <c r="D137" s="298" t="s">
        <v>419</v>
      </c>
      <c r="E137" s="298" t="s">
        <v>419</v>
      </c>
      <c r="F137" s="298" t="s">
        <v>419</v>
      </c>
      <c r="G137" s="298" t="s">
        <v>419</v>
      </c>
      <c r="H137" s="298" t="s">
        <v>419</v>
      </c>
      <c r="I137" s="298" t="s">
        <v>419</v>
      </c>
      <c r="J137" s="298" t="s">
        <v>419</v>
      </c>
      <c r="K137" s="298" t="s">
        <v>419</v>
      </c>
      <c r="L137" s="298" t="s">
        <v>419</v>
      </c>
      <c r="M137" s="298" t="s">
        <v>419</v>
      </c>
      <c r="N137" s="298" t="s">
        <v>419</v>
      </c>
      <c r="O137" s="298" t="s">
        <v>419</v>
      </c>
      <c r="P137" s="298" t="s">
        <v>419</v>
      </c>
      <c r="Q137" s="299" t="s">
        <v>419</v>
      </c>
    </row>
    <row r="138" spans="1:17">
      <c r="A138" s="293" t="s">
        <v>479</v>
      </c>
      <c r="B138" s="295" t="s">
        <v>413</v>
      </c>
      <c r="C138" s="295" t="s">
        <v>480</v>
      </c>
      <c r="D138" s="295" t="s">
        <v>455</v>
      </c>
      <c r="E138" s="295" t="s">
        <v>481</v>
      </c>
      <c r="F138" s="295" t="s">
        <v>482</v>
      </c>
      <c r="G138" s="295" t="s">
        <v>423</v>
      </c>
      <c r="H138" s="295" t="s">
        <v>483</v>
      </c>
      <c r="I138" s="295" t="s">
        <v>484</v>
      </c>
      <c r="J138" s="295" t="s">
        <v>485</v>
      </c>
      <c r="K138" s="295" t="s">
        <v>486</v>
      </c>
      <c r="L138" s="294" t="s">
        <v>487</v>
      </c>
      <c r="M138" s="295" t="s">
        <v>488</v>
      </c>
      <c r="N138" s="295" t="s">
        <v>489</v>
      </c>
      <c r="O138" s="295" t="s">
        <v>421</v>
      </c>
      <c r="P138" s="295" t="s">
        <v>490</v>
      </c>
      <c r="Q138" s="296" t="s">
        <v>491</v>
      </c>
    </row>
    <row r="139" spans="1:17">
      <c r="A139" s="293" t="s">
        <v>492</v>
      </c>
      <c r="B139" s="298" t="s">
        <v>419</v>
      </c>
      <c r="C139" s="298" t="s">
        <v>419</v>
      </c>
      <c r="D139" s="298" t="s">
        <v>419</v>
      </c>
      <c r="E139" s="298" t="s">
        <v>419</v>
      </c>
      <c r="F139" s="298" t="s">
        <v>419</v>
      </c>
      <c r="G139" s="298" t="s">
        <v>419</v>
      </c>
      <c r="H139" s="298" t="s">
        <v>419</v>
      </c>
      <c r="I139" s="298" t="s">
        <v>419</v>
      </c>
      <c r="J139" s="298" t="s">
        <v>419</v>
      </c>
      <c r="K139" s="298" t="s">
        <v>419</v>
      </c>
      <c r="L139" s="298" t="s">
        <v>419</v>
      </c>
      <c r="M139" s="298" t="s">
        <v>419</v>
      </c>
      <c r="N139" s="298" t="s">
        <v>419</v>
      </c>
      <c r="O139" s="298" t="s">
        <v>419</v>
      </c>
      <c r="P139" s="298" t="s">
        <v>419</v>
      </c>
      <c r="Q139" s="299" t="s">
        <v>419</v>
      </c>
    </row>
    <row r="140" spans="1:17">
      <c r="A140" s="293" t="s">
        <v>493</v>
      </c>
      <c r="B140" s="295" t="s">
        <v>494</v>
      </c>
      <c r="C140" s="295" t="s">
        <v>495</v>
      </c>
      <c r="D140" s="295" t="s">
        <v>496</v>
      </c>
      <c r="E140" s="298" t="s">
        <v>419</v>
      </c>
      <c r="F140" s="298" t="s">
        <v>419</v>
      </c>
      <c r="G140" s="298" t="s">
        <v>419</v>
      </c>
      <c r="H140" s="298" t="s">
        <v>419</v>
      </c>
      <c r="I140" s="298" t="s">
        <v>419</v>
      </c>
      <c r="J140" s="298" t="s">
        <v>419</v>
      </c>
      <c r="K140" s="298" t="s">
        <v>419</v>
      </c>
      <c r="L140" s="295" t="s">
        <v>424</v>
      </c>
      <c r="M140" s="298" t="s">
        <v>419</v>
      </c>
      <c r="N140" s="295" t="s">
        <v>497</v>
      </c>
      <c r="O140" s="298" t="s">
        <v>419</v>
      </c>
      <c r="P140" s="298" t="s">
        <v>419</v>
      </c>
      <c r="Q140" s="299" t="s">
        <v>419</v>
      </c>
    </row>
    <row r="141" spans="1:17">
      <c r="A141" s="293" t="s">
        <v>498</v>
      </c>
      <c r="B141" s="295" t="s">
        <v>499</v>
      </c>
      <c r="C141" s="295" t="s">
        <v>500</v>
      </c>
      <c r="D141" s="295" t="s">
        <v>501</v>
      </c>
      <c r="E141" s="295" t="s">
        <v>502</v>
      </c>
      <c r="F141" s="295" t="s">
        <v>503</v>
      </c>
      <c r="G141" s="295" t="s">
        <v>406</v>
      </c>
      <c r="H141" s="294" t="s">
        <v>504</v>
      </c>
      <c r="I141" s="295" t="s">
        <v>500</v>
      </c>
      <c r="J141" s="294" t="s">
        <v>505</v>
      </c>
      <c r="K141" s="295" t="s">
        <v>408</v>
      </c>
      <c r="L141" s="295" t="s">
        <v>411</v>
      </c>
      <c r="M141" s="295" t="s">
        <v>506</v>
      </c>
      <c r="N141" s="294" t="s">
        <v>507</v>
      </c>
      <c r="O141" s="295" t="s">
        <v>508</v>
      </c>
      <c r="P141" s="294" t="s">
        <v>466</v>
      </c>
      <c r="Q141" s="300" t="s">
        <v>509</v>
      </c>
    </row>
    <row r="142" spans="1:17">
      <c r="A142" s="293" t="s">
        <v>510</v>
      </c>
      <c r="B142" s="298" t="s">
        <v>419</v>
      </c>
      <c r="C142" s="298" t="s">
        <v>419</v>
      </c>
      <c r="D142" s="298" t="s">
        <v>511</v>
      </c>
      <c r="E142" s="298" t="s">
        <v>419</v>
      </c>
      <c r="F142" s="298" t="s">
        <v>419</v>
      </c>
      <c r="G142" s="298" t="s">
        <v>419</v>
      </c>
      <c r="H142" s="298" t="s">
        <v>419</v>
      </c>
      <c r="I142" s="298" t="s">
        <v>419</v>
      </c>
      <c r="J142" s="298" t="s">
        <v>419</v>
      </c>
      <c r="K142" s="298" t="s">
        <v>419</v>
      </c>
      <c r="L142" s="298" t="s">
        <v>419</v>
      </c>
      <c r="M142" s="298" t="s">
        <v>419</v>
      </c>
      <c r="N142" s="298" t="s">
        <v>419</v>
      </c>
      <c r="O142" s="298" t="s">
        <v>419</v>
      </c>
      <c r="P142" s="298" t="s">
        <v>419</v>
      </c>
      <c r="Q142" s="299" t="s">
        <v>419</v>
      </c>
    </row>
    <row r="143" spans="1:17">
      <c r="A143" s="293" t="s">
        <v>512</v>
      </c>
      <c r="B143" s="298" t="s">
        <v>419</v>
      </c>
      <c r="C143" s="298" t="s">
        <v>419</v>
      </c>
      <c r="D143" s="298" t="s">
        <v>513</v>
      </c>
      <c r="E143" s="298" t="s">
        <v>419</v>
      </c>
      <c r="F143" s="298" t="s">
        <v>419</v>
      </c>
      <c r="G143" s="298" t="s">
        <v>419</v>
      </c>
      <c r="H143" s="298" t="s">
        <v>419</v>
      </c>
      <c r="I143" s="298" t="s">
        <v>419</v>
      </c>
      <c r="J143" s="298" t="s">
        <v>419</v>
      </c>
      <c r="K143" s="298" t="s">
        <v>419</v>
      </c>
      <c r="L143" s="298" t="s">
        <v>419</v>
      </c>
      <c r="M143" s="298" t="s">
        <v>419</v>
      </c>
      <c r="N143" s="298" t="s">
        <v>419</v>
      </c>
      <c r="O143" s="298" t="s">
        <v>419</v>
      </c>
      <c r="P143" s="298" t="s">
        <v>419</v>
      </c>
      <c r="Q143" s="299" t="s">
        <v>419</v>
      </c>
    </row>
    <row r="144" spans="1:17">
      <c r="A144" s="293" t="s">
        <v>514</v>
      </c>
      <c r="B144" s="298" t="s">
        <v>419</v>
      </c>
      <c r="C144" s="298" t="s">
        <v>419</v>
      </c>
      <c r="D144" s="298" t="s">
        <v>419</v>
      </c>
      <c r="E144" s="298" t="s">
        <v>419</v>
      </c>
      <c r="F144" s="298" t="s">
        <v>419</v>
      </c>
      <c r="G144" s="298" t="s">
        <v>419</v>
      </c>
      <c r="H144" s="298" t="s">
        <v>419</v>
      </c>
      <c r="I144" s="298" t="s">
        <v>419</v>
      </c>
      <c r="J144" s="298" t="s">
        <v>419</v>
      </c>
      <c r="K144" s="298" t="s">
        <v>419</v>
      </c>
      <c r="L144" s="298" t="s">
        <v>419</v>
      </c>
      <c r="M144" s="298" t="s">
        <v>419</v>
      </c>
      <c r="N144" s="298" t="s">
        <v>419</v>
      </c>
      <c r="O144" s="298" t="s">
        <v>419</v>
      </c>
      <c r="P144" s="298" t="s">
        <v>419</v>
      </c>
      <c r="Q144" s="299" t="s">
        <v>419</v>
      </c>
    </row>
    <row r="145" spans="1:17">
      <c r="A145" s="313" t="s">
        <v>515</v>
      </c>
      <c r="B145" s="167">
        <v>5900</v>
      </c>
      <c r="C145" s="167">
        <v>4300</v>
      </c>
      <c r="D145" s="167">
        <v>6600</v>
      </c>
      <c r="E145" s="167">
        <v>5400</v>
      </c>
      <c r="F145" s="167">
        <v>3400</v>
      </c>
      <c r="G145" s="167">
        <v>3500</v>
      </c>
      <c r="H145" s="167">
        <v>2600</v>
      </c>
      <c r="I145" s="167">
        <v>2600</v>
      </c>
      <c r="J145" s="167">
        <v>2600</v>
      </c>
      <c r="K145" s="167">
        <v>2500</v>
      </c>
      <c r="L145" s="167">
        <v>2400</v>
      </c>
      <c r="M145" s="167">
        <v>1400</v>
      </c>
      <c r="N145" s="167">
        <v>3000</v>
      </c>
      <c r="O145" s="167">
        <v>2300</v>
      </c>
      <c r="P145" s="167">
        <v>2500</v>
      </c>
      <c r="Q145" s="314">
        <v>2600</v>
      </c>
    </row>
    <row r="146" spans="1:17">
      <c r="A146" s="313" t="s">
        <v>516</v>
      </c>
      <c r="B146" s="167">
        <v>6200</v>
      </c>
      <c r="C146" s="167">
        <v>4400</v>
      </c>
      <c r="D146" s="167">
        <v>6800</v>
      </c>
      <c r="E146" s="167">
        <v>5500</v>
      </c>
      <c r="F146" s="167">
        <v>3600</v>
      </c>
      <c r="G146" s="167">
        <v>3500</v>
      </c>
      <c r="H146" s="167">
        <v>2700</v>
      </c>
      <c r="I146" s="167">
        <v>2600</v>
      </c>
      <c r="J146" s="167">
        <v>2700</v>
      </c>
      <c r="K146" s="167">
        <v>2500</v>
      </c>
      <c r="L146" s="167">
        <v>2600</v>
      </c>
      <c r="M146" s="167">
        <v>1400</v>
      </c>
      <c r="N146" s="167">
        <v>3100</v>
      </c>
      <c r="O146" s="167">
        <v>2400</v>
      </c>
      <c r="P146" s="167">
        <v>2700</v>
      </c>
      <c r="Q146" s="314">
        <v>2700</v>
      </c>
    </row>
    <row r="147" spans="1:17">
      <c r="A147" s="313" t="s">
        <v>517</v>
      </c>
      <c r="B147" s="316">
        <f>B145/B125</f>
        <v>4.916666666666667</v>
      </c>
      <c r="C147" s="316">
        <f t="shared" ref="C147:Q147" si="7">C145/C125</f>
        <v>4.5263157894736841</v>
      </c>
      <c r="D147" s="316">
        <f t="shared" si="7"/>
        <v>6</v>
      </c>
      <c r="E147" s="316">
        <f t="shared" si="7"/>
        <v>4.9090909090909092</v>
      </c>
      <c r="F147" s="316">
        <f t="shared" si="7"/>
        <v>4.8571428571428568</v>
      </c>
      <c r="G147" s="316">
        <f t="shared" si="7"/>
        <v>4.7945205479452051</v>
      </c>
      <c r="H147" s="316">
        <f t="shared" si="7"/>
        <v>4.7272727272727275</v>
      </c>
      <c r="I147" s="316">
        <f t="shared" si="7"/>
        <v>4.8148148148148149</v>
      </c>
      <c r="J147" s="316">
        <f t="shared" si="7"/>
        <v>4.5614035087719298</v>
      </c>
      <c r="K147" s="316">
        <f t="shared" si="7"/>
        <v>5.3191489361702127</v>
      </c>
      <c r="L147" s="316">
        <f t="shared" si="7"/>
        <v>4.1379310344827589</v>
      </c>
      <c r="M147" s="316">
        <f t="shared" si="7"/>
        <v>5.6</v>
      </c>
      <c r="N147" s="316">
        <f t="shared" si="7"/>
        <v>4.6875</v>
      </c>
      <c r="O147" s="316">
        <f t="shared" si="7"/>
        <v>4.6938775510204085</v>
      </c>
      <c r="P147" s="316">
        <f t="shared" si="7"/>
        <v>4.8076923076923075</v>
      </c>
      <c r="Q147" s="317">
        <f t="shared" si="7"/>
        <v>4.5614035087719298</v>
      </c>
    </row>
    <row r="148" spans="1:17">
      <c r="A148" s="313" t="s">
        <v>518</v>
      </c>
      <c r="B148" s="316">
        <f t="shared" ref="B148:Q148" si="8">B146/B125</f>
        <v>5.166666666666667</v>
      </c>
      <c r="C148" s="316">
        <f t="shared" si="8"/>
        <v>4.6315789473684212</v>
      </c>
      <c r="D148" s="316">
        <f t="shared" si="8"/>
        <v>6.1818181818181817</v>
      </c>
      <c r="E148" s="316">
        <f t="shared" si="8"/>
        <v>5</v>
      </c>
      <c r="F148" s="316">
        <f t="shared" si="8"/>
        <v>5.1428571428571432</v>
      </c>
      <c r="G148" s="316">
        <f t="shared" si="8"/>
        <v>4.7945205479452051</v>
      </c>
      <c r="H148" s="316">
        <f t="shared" si="8"/>
        <v>4.9090909090909092</v>
      </c>
      <c r="I148" s="316">
        <f t="shared" si="8"/>
        <v>4.8148148148148149</v>
      </c>
      <c r="J148" s="316">
        <f t="shared" si="8"/>
        <v>4.7368421052631575</v>
      </c>
      <c r="K148" s="316">
        <f t="shared" si="8"/>
        <v>5.3191489361702127</v>
      </c>
      <c r="L148" s="316">
        <f t="shared" si="8"/>
        <v>4.4827586206896548</v>
      </c>
      <c r="M148" s="316">
        <f t="shared" si="8"/>
        <v>5.6</v>
      </c>
      <c r="N148" s="316">
        <f t="shared" si="8"/>
        <v>4.84375</v>
      </c>
      <c r="O148" s="316">
        <f t="shared" si="8"/>
        <v>4.8979591836734695</v>
      </c>
      <c r="P148" s="316">
        <f t="shared" si="8"/>
        <v>5.1923076923076925</v>
      </c>
      <c r="Q148" s="317">
        <f t="shared" si="8"/>
        <v>4.7368421052631575</v>
      </c>
    </row>
    <row r="149" spans="1:17">
      <c r="A149" s="318" t="s">
        <v>519</v>
      </c>
      <c r="B149" s="319">
        <f>AVERAGE(B147:Q147)</f>
        <v>4.8696738224572762</v>
      </c>
      <c r="C149" s="320"/>
      <c r="D149" s="321"/>
      <c r="E149" s="321"/>
      <c r="F149" s="321"/>
      <c r="G149" s="321"/>
      <c r="H149" s="321"/>
      <c r="I149" s="321"/>
      <c r="J149" s="321"/>
      <c r="K149" s="321"/>
      <c r="L149" s="321"/>
      <c r="M149" s="321"/>
      <c r="N149" s="321"/>
      <c r="O149" s="321"/>
      <c r="P149" s="321"/>
      <c r="Q149" s="322"/>
    </row>
    <row r="150" spans="1:17" ht="13.5" thickBot="1">
      <c r="A150" s="323" t="s">
        <v>520</v>
      </c>
      <c r="B150" s="324">
        <f>AVERAGE(B148:Q148)</f>
        <v>5.0281847408705431</v>
      </c>
      <c r="C150" s="325"/>
      <c r="D150" s="326"/>
      <c r="E150" s="326"/>
      <c r="F150" s="326"/>
      <c r="G150" s="326"/>
      <c r="H150" s="326"/>
      <c r="I150" s="326"/>
      <c r="J150" s="326"/>
      <c r="K150" s="326"/>
      <c r="L150" s="326"/>
      <c r="M150" s="326"/>
      <c r="N150" s="326"/>
      <c r="O150" s="326"/>
      <c r="P150" s="326"/>
      <c r="Q150" s="327"/>
    </row>
    <row r="152" spans="1:17" ht="13.5" thickBot="1">
      <c r="A152" s="336" t="s">
        <v>521</v>
      </c>
      <c r="B152" s="337"/>
      <c r="C152" s="337"/>
      <c r="D152" s="337"/>
      <c r="E152" s="337"/>
      <c r="F152" s="337"/>
      <c r="G152" s="337"/>
      <c r="H152" s="337"/>
      <c r="I152" s="337"/>
      <c r="J152" s="337"/>
      <c r="K152" s="337"/>
      <c r="L152" s="337"/>
      <c r="M152" s="337"/>
      <c r="N152" s="337"/>
    </row>
    <row r="153" spans="1:17" ht="38.25">
      <c r="A153" s="270" t="s">
        <v>522</v>
      </c>
      <c r="B153" s="271" t="s">
        <v>523</v>
      </c>
      <c r="C153" s="271" t="s">
        <v>524</v>
      </c>
      <c r="D153" s="271" t="s">
        <v>525</v>
      </c>
      <c r="E153" s="271" t="s">
        <v>526</v>
      </c>
      <c r="F153" s="271" t="s">
        <v>527</v>
      </c>
      <c r="G153" s="271" t="s">
        <v>528</v>
      </c>
      <c r="H153" s="271" t="s">
        <v>529</v>
      </c>
      <c r="I153" s="271" t="s">
        <v>530</v>
      </c>
      <c r="J153" s="271" t="s">
        <v>531</v>
      </c>
      <c r="K153" s="271" t="s">
        <v>532</v>
      </c>
      <c r="L153" s="271" t="s">
        <v>533</v>
      </c>
      <c r="M153" s="271" t="s">
        <v>534</v>
      </c>
      <c r="N153" s="272" t="s">
        <v>535</v>
      </c>
    </row>
    <row r="154" spans="1:17">
      <c r="A154" s="276" t="s">
        <v>536</v>
      </c>
      <c r="B154" s="277">
        <f>$A$6</f>
        <v>160</v>
      </c>
      <c r="C154" s="277">
        <f>$A$6</f>
        <v>160</v>
      </c>
      <c r="D154" s="278">
        <f t="shared" ref="D154:E158" si="9">VLOOKUP(B154,$A$4:$E$10,5,FALSE())</f>
        <v>18.264840182648403</v>
      </c>
      <c r="E154" s="278">
        <f t="shared" si="9"/>
        <v>18.264840182648403</v>
      </c>
      <c r="F154" s="278">
        <f>AVERAGE(D154:E154)</f>
        <v>18.264840182648403</v>
      </c>
      <c r="G154" s="279">
        <v>903</v>
      </c>
      <c r="H154" s="280">
        <f>$B$105</f>
        <v>323.46187499999996</v>
      </c>
      <c r="I154" s="279">
        <f>H154*G154</f>
        <v>292086.073125</v>
      </c>
      <c r="J154" s="278">
        <f>$J$114</f>
        <v>0.69171430245670829</v>
      </c>
      <c r="K154" s="280">
        <f>CONVERT(CONVERT(J154,"ft","m"),"hr","s")</f>
        <v>759.00426979969689</v>
      </c>
      <c r="L154" s="281">
        <f>G154/K154</f>
        <v>1.1897166273363704</v>
      </c>
      <c r="M154" s="282">
        <f>F154*L154*I154/1000000</f>
        <v>6.3470257134283017</v>
      </c>
      <c r="N154" s="283">
        <f>M154/(L154*60*60)</f>
        <v>1.4819181792237444E-3</v>
      </c>
    </row>
    <row r="155" spans="1:17">
      <c r="A155" s="276" t="s">
        <v>537</v>
      </c>
      <c r="B155" s="277">
        <f>$A$6</f>
        <v>160</v>
      </c>
      <c r="C155" s="277">
        <f>$A$5</f>
        <v>80</v>
      </c>
      <c r="D155" s="278">
        <f t="shared" si="9"/>
        <v>18.264840182648403</v>
      </c>
      <c r="E155" s="278">
        <f t="shared" si="9"/>
        <v>9.1324200913242013</v>
      </c>
      <c r="F155" s="278">
        <f t="shared" ref="F155:F158" si="10">AVERAGE(D155:E155)</f>
        <v>13.698630136986303</v>
      </c>
      <c r="G155" s="279">
        <v>489.9</v>
      </c>
      <c r="H155" s="280">
        <f>$B$105</f>
        <v>323.46187499999996</v>
      </c>
      <c r="I155" s="279">
        <f t="shared" ref="I155:I158" si="11">H155*G155</f>
        <v>158463.97256249998</v>
      </c>
      <c r="J155" s="278">
        <f>$J$114</f>
        <v>0.69171430245670829</v>
      </c>
      <c r="K155" s="280">
        <f t="shared" ref="K155:K158" si="12">CONVERT(CONVERT(J155,"ft","m"),"hr","s")</f>
        <v>759.00426979969689</v>
      </c>
      <c r="L155" s="281">
        <f>G155/K155</f>
        <v>0.64545091443199099</v>
      </c>
      <c r="M155" s="282">
        <f t="shared" ref="M155:M158" si="13">F155*L155*I155/1000000</f>
        <v>1.401105698561528</v>
      </c>
      <c r="N155" s="283">
        <f t="shared" ref="N155:N158" si="14">M155/(L155*60*60)</f>
        <v>6.0298315282534241E-4</v>
      </c>
    </row>
    <row r="156" spans="1:17">
      <c r="A156" s="276" t="s">
        <v>538</v>
      </c>
      <c r="B156" s="277">
        <f>$A$5</f>
        <v>80</v>
      </c>
      <c r="C156" s="277">
        <f>$A$4</f>
        <v>40</v>
      </c>
      <c r="D156" s="278">
        <f t="shared" si="9"/>
        <v>9.1324200913242013</v>
      </c>
      <c r="E156" s="278">
        <f t="shared" si="9"/>
        <v>4.5662100456621006</v>
      </c>
      <c r="F156" s="278">
        <f t="shared" si="10"/>
        <v>6.8493150684931514</v>
      </c>
      <c r="G156" s="279">
        <v>908.5</v>
      </c>
      <c r="H156" s="280">
        <f>$B$105</f>
        <v>323.46187499999996</v>
      </c>
      <c r="I156" s="279">
        <f t="shared" si="11"/>
        <v>293865.11343749997</v>
      </c>
      <c r="J156" s="278">
        <f>$J$114</f>
        <v>0.69171430245670829</v>
      </c>
      <c r="K156" s="280">
        <f t="shared" si="12"/>
        <v>759.00426979969689</v>
      </c>
      <c r="L156" s="281">
        <f>G156/K156</f>
        <v>1.1969629633832697</v>
      </c>
      <c r="M156" s="282">
        <f t="shared" si="13"/>
        <v>2.4092168288706208</v>
      </c>
      <c r="N156" s="283">
        <f t="shared" si="14"/>
        <v>5.5910409710331046E-4</v>
      </c>
    </row>
    <row r="157" spans="1:17">
      <c r="A157" s="276" t="s">
        <v>539</v>
      </c>
      <c r="B157" s="277">
        <f>$A$6</f>
        <v>160</v>
      </c>
      <c r="C157" s="277">
        <f>$A$5</f>
        <v>80</v>
      </c>
      <c r="D157" s="278">
        <f t="shared" si="9"/>
        <v>18.264840182648403</v>
      </c>
      <c r="E157" s="278">
        <f t="shared" si="9"/>
        <v>9.1324200913242013</v>
      </c>
      <c r="F157" s="278">
        <f t="shared" si="10"/>
        <v>13.698630136986303</v>
      </c>
      <c r="G157" s="279">
        <v>586.39</v>
      </c>
      <c r="H157" s="280">
        <f>$B$105</f>
        <v>323.46187499999996</v>
      </c>
      <c r="I157" s="279">
        <f t="shared" si="11"/>
        <v>189674.80888124998</v>
      </c>
      <c r="J157" s="278">
        <f>$J$114</f>
        <v>0.69171430245670829</v>
      </c>
      <c r="K157" s="280">
        <f t="shared" si="12"/>
        <v>759.00426979969689</v>
      </c>
      <c r="L157" s="281">
        <f>G157/K157</f>
        <v>0.77257799900750201</v>
      </c>
      <c r="M157" s="282">
        <f t="shared" si="13"/>
        <v>2.0073778672274862</v>
      </c>
      <c r="N157" s="283">
        <f t="shared" si="14"/>
        <v>7.2174584810216888E-4</v>
      </c>
    </row>
    <row r="158" spans="1:17">
      <c r="A158" s="276" t="s">
        <v>540</v>
      </c>
      <c r="B158" s="277">
        <f>$A$5</f>
        <v>80</v>
      </c>
      <c r="C158" s="277">
        <f>$A$4</f>
        <v>40</v>
      </c>
      <c r="D158" s="278">
        <f t="shared" si="9"/>
        <v>9.1324200913242013</v>
      </c>
      <c r="E158" s="278">
        <f t="shared" si="9"/>
        <v>4.5662100456621006</v>
      </c>
      <c r="F158" s="278">
        <f t="shared" si="10"/>
        <v>6.8493150684931514</v>
      </c>
      <c r="G158" s="279">
        <v>564.67999999999995</v>
      </c>
      <c r="H158" s="280">
        <f>$B$105</f>
        <v>323.46187499999996</v>
      </c>
      <c r="I158" s="279">
        <f t="shared" si="11"/>
        <v>182652.45157499996</v>
      </c>
      <c r="J158" s="278">
        <f>$J$114</f>
        <v>0.69171430245670829</v>
      </c>
      <c r="K158" s="280">
        <f t="shared" si="12"/>
        <v>759.00426979969689</v>
      </c>
      <c r="L158" s="281">
        <f>G158/K158</f>
        <v>0.74397473435692318</v>
      </c>
      <c r="M158" s="282">
        <f t="shared" si="13"/>
        <v>0.93074526808322877</v>
      </c>
      <c r="N158" s="283">
        <f t="shared" si="14"/>
        <v>3.4751227468607306E-4</v>
      </c>
    </row>
    <row r="159" spans="1:17" ht="13.5">
      <c r="A159" s="341" t="s">
        <v>109</v>
      </c>
      <c r="B159" s="339"/>
      <c r="C159" s="339"/>
      <c r="D159" s="339"/>
      <c r="E159" s="339"/>
      <c r="F159" s="339"/>
      <c r="G159" s="343"/>
      <c r="H159" s="339"/>
      <c r="I159" s="343"/>
      <c r="J159" s="339"/>
      <c r="K159" s="339"/>
      <c r="L159" s="344"/>
      <c r="M159" s="346" t="s">
        <v>541</v>
      </c>
      <c r="N159" s="347">
        <f>SUM(N154:N158)</f>
        <v>3.7132635519406395E-3</v>
      </c>
    </row>
    <row r="160" spans="1:17">
      <c r="A160" s="342" t="s">
        <v>542</v>
      </c>
      <c r="B160" s="339"/>
      <c r="C160" s="339"/>
      <c r="D160" s="339"/>
      <c r="E160" s="339"/>
      <c r="F160" s="339"/>
      <c r="G160" s="343"/>
      <c r="H160" s="339"/>
      <c r="I160" s="343"/>
      <c r="J160" s="339"/>
      <c r="K160" s="339"/>
      <c r="L160" s="344"/>
      <c r="M160" s="340" t="s">
        <v>543</v>
      </c>
      <c r="N160" s="334">
        <f>N159*$B$149</f>
        <v>1.8082382314770058E-2</v>
      </c>
    </row>
    <row r="161" spans="1:14">
      <c r="A161" s="342" t="s">
        <v>544</v>
      </c>
      <c r="B161" s="339"/>
      <c r="C161" s="339"/>
      <c r="D161" s="339"/>
      <c r="E161" s="339"/>
      <c r="F161" s="339"/>
      <c r="G161" s="339"/>
      <c r="H161" s="339"/>
      <c r="I161" s="339"/>
      <c r="J161" s="339"/>
      <c r="K161" s="339"/>
      <c r="L161" s="339"/>
      <c r="M161" s="340" t="s">
        <v>545</v>
      </c>
      <c r="N161" s="334">
        <f>N159*$B$150</f>
        <v>1.8670975130698677E-2</v>
      </c>
    </row>
    <row r="162" spans="1:14">
      <c r="A162" s="342" t="s">
        <v>546</v>
      </c>
      <c r="B162" s="339"/>
      <c r="C162" s="339"/>
      <c r="D162" s="339"/>
      <c r="E162" s="339"/>
      <c r="F162" s="339"/>
      <c r="G162" s="339"/>
      <c r="H162" s="339"/>
      <c r="I162" s="339"/>
      <c r="J162" s="339"/>
      <c r="K162" s="339"/>
      <c r="L162" s="339"/>
      <c r="M162" s="339"/>
      <c r="N162" s="303"/>
    </row>
    <row r="163" spans="1:14" ht="13.5" thickBot="1">
      <c r="A163" s="345" t="s">
        <v>547</v>
      </c>
      <c r="B163" s="297"/>
      <c r="C163" s="297"/>
      <c r="D163" s="297"/>
      <c r="E163" s="297"/>
      <c r="F163" s="297"/>
      <c r="G163" s="297"/>
      <c r="H163" s="297"/>
      <c r="I163" s="297"/>
      <c r="J163" s="297"/>
      <c r="K163" s="297"/>
      <c r="L163" s="297"/>
      <c r="M163" s="297"/>
      <c r="N163" s="332"/>
    </row>
  </sheetData>
  <sheetProtection sheet="1" objects="1" scenarios="1"/>
  <mergeCells count="3">
    <mergeCell ref="A2:E2"/>
    <mergeCell ref="A106:F107"/>
    <mergeCell ref="A110:J1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4E533-EA99-42E4-AB81-4CFC5810CD1C}">
  <sheetPr>
    <tabColor rgb="FFCCFFFF"/>
  </sheetPr>
  <dimension ref="A1:E4"/>
  <sheetViews>
    <sheetView workbookViewId="0">
      <selection activeCell="B4" sqref="B4"/>
    </sheetView>
  </sheetViews>
  <sheetFormatPr defaultRowHeight="15"/>
  <cols>
    <col min="1" max="2" width="12.5703125" customWidth="1"/>
    <col min="3" max="4" width="13.42578125" customWidth="1"/>
    <col min="5" max="5" width="13.28515625" customWidth="1"/>
  </cols>
  <sheetData>
    <row r="1" spans="1:5" ht="51.75">
      <c r="A1" s="422" t="s">
        <v>244</v>
      </c>
      <c r="B1" s="423" t="s">
        <v>548</v>
      </c>
      <c r="C1" s="423" t="s">
        <v>549</v>
      </c>
      <c r="D1" s="423" t="s">
        <v>550</v>
      </c>
      <c r="E1" s="423" t="s">
        <v>551</v>
      </c>
    </row>
    <row r="2" spans="1:5">
      <c r="A2" s="424">
        <v>43923</v>
      </c>
      <c r="B2" s="425">
        <v>22.466000000000001</v>
      </c>
      <c r="C2" s="426">
        <f>B2*10^6</f>
        <v>22466000</v>
      </c>
      <c r="D2" s="132">
        <v>9</v>
      </c>
      <c r="E2" s="426">
        <f>C2*D2/24</f>
        <v>8424750</v>
      </c>
    </row>
    <row r="3" spans="1:5">
      <c r="A3" s="424">
        <v>43924</v>
      </c>
      <c r="B3" s="425">
        <v>23.416</v>
      </c>
      <c r="C3" s="426">
        <f>B3*10^6</f>
        <v>23416000</v>
      </c>
      <c r="D3" s="132">
        <v>15</v>
      </c>
      <c r="E3" s="426">
        <f>C3*D3/24</f>
        <v>14635000</v>
      </c>
    </row>
    <row r="4" spans="1:5">
      <c r="A4" s="135"/>
      <c r="B4" s="135"/>
      <c r="C4" s="358" t="s">
        <v>552</v>
      </c>
      <c r="D4" s="358">
        <f>SUM(D2,D3)</f>
        <v>24</v>
      </c>
      <c r="E4" s="136">
        <f>SUM(E2,E3)</f>
        <v>23059750</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FA1B4-C0F9-4164-9ED0-92F3F01C2091}">
  <sheetPr>
    <tabColor rgb="FFCCFFFF"/>
  </sheetPr>
  <dimension ref="A1:D4"/>
  <sheetViews>
    <sheetView workbookViewId="0">
      <selection activeCell="A2" sqref="A2"/>
    </sheetView>
  </sheetViews>
  <sheetFormatPr defaultRowHeight="15"/>
  <cols>
    <col min="1" max="3" width="18.42578125" style="17" customWidth="1"/>
    <col min="4" max="4" width="15.7109375" customWidth="1"/>
  </cols>
  <sheetData>
    <row r="1" spans="1:4" ht="47.25">
      <c r="A1" s="427" t="s">
        <v>553</v>
      </c>
      <c r="B1" s="428" t="s">
        <v>554</v>
      </c>
      <c r="C1" s="427" t="s">
        <v>555</v>
      </c>
      <c r="D1" s="427" t="s">
        <v>549</v>
      </c>
    </row>
    <row r="2" spans="1:4">
      <c r="A2" s="429">
        <v>43923.375</v>
      </c>
      <c r="B2" s="189">
        <v>12343.29</v>
      </c>
      <c r="C2" s="189">
        <f t="shared" ref="C2" si="0">B2*60*24</f>
        <v>17774337.600000001</v>
      </c>
      <c r="D2" s="430">
        <f>C2</f>
        <v>17774337.600000001</v>
      </c>
    </row>
    <row r="3" spans="1:4">
      <c r="A3" s="22"/>
      <c r="B3" s="22"/>
      <c r="C3" s="22"/>
      <c r="D3" s="22"/>
    </row>
    <row r="4" spans="1:4">
      <c r="A4" s="24" t="s">
        <v>556</v>
      </c>
      <c r="D4" s="22"/>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6D638622362A49BB87502306C50E9B" ma:contentTypeVersion="10" ma:contentTypeDescription="Create a new document." ma:contentTypeScope="" ma:versionID="17c4db89480213f6ba8db60865d93eab">
  <xsd:schema xmlns:xsd="http://www.w3.org/2001/XMLSchema" xmlns:xs="http://www.w3.org/2001/XMLSchema" xmlns:p="http://schemas.microsoft.com/office/2006/metadata/properties" xmlns:ns2="eb55e4a8-4b76-448e-92ea-ea5ace658981" xmlns:ns3="dc14dacb-a237-4e21-aa47-4ffab630ab7e" targetNamespace="http://schemas.microsoft.com/office/2006/metadata/properties" ma:root="true" ma:fieldsID="48ee09af7d962a504c15b4b5bbdbb045" ns2:_="" ns3:_="">
    <xsd:import namespace="eb55e4a8-4b76-448e-92ea-ea5ace658981"/>
    <xsd:import namespace="dc14dacb-a237-4e21-aa47-4ffab630ab7e"/>
    <xsd:element name="properties">
      <xsd:complexType>
        <xsd:sequence>
          <xsd:element name="documentManagement">
            <xsd:complexType>
              <xsd:all>
                <xsd:element ref="ns2:Author_x0020_Org_x002e_" minOccurs="0"/>
                <xsd:element ref="ns2:Data_x0020_Type" minOccurs="0"/>
                <xsd:element ref="ns2:Tag_x0020_1" minOccurs="0"/>
                <xsd:element ref="ns2: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5e4a8-4b76-448e-92ea-ea5ace658981" elementFormDefault="qualified">
    <xsd:import namespace="http://schemas.microsoft.com/office/2006/documentManagement/types"/>
    <xsd:import namespace="http://schemas.microsoft.com/office/infopath/2007/PartnerControls"/>
    <xsd:element name="Author_x0020_Org_x002e_" ma:index="2" nillable="true" ma:displayName="Author Org." ma:format="Dropdown" ma:internalName="Author_x0020_Org_x002e_" ma:readOnly="false">
      <xsd:simpleType>
        <xsd:union memberTypes="dms:Text">
          <xsd:simpleType>
            <xsd:restriction base="dms:Choice">
              <xsd:enumeration value="Parsons"/>
              <xsd:enumeration value="Geosyntec"/>
              <xsd:enumeration value="AECOM"/>
              <xsd:enumeration value="Chemours"/>
              <xsd:enumeration value="NCDEQ"/>
              <xsd:enumeration value="CFPUA"/>
              <xsd:enumeration value="TestAmerica"/>
              <xsd:enumeration value="Lancaster"/>
              <xsd:enumeration value="Arnold and Porter"/>
            </xsd:restriction>
          </xsd:simpleType>
        </xsd:union>
      </xsd:simpleType>
    </xsd:element>
    <xsd:element name="Data_x0020_Type" ma:index="3" nillable="true" ma:displayName="Data Type" ma:default="Report" ma:format="Dropdown" ma:internalName="Data_x0020_Type" ma:readOnly="false">
      <xsd:simpleType>
        <xsd:union memberTypes="dms:Text">
          <xsd:simpleType>
            <xsd:restriction base="dms:Choice">
              <xsd:enumeration value="Report"/>
              <xsd:enumeration value="Lab Report"/>
              <xsd:enumeration value="Map"/>
              <xsd:enumeration value="Table"/>
              <xsd:enumeration value="Spreadsheet"/>
              <xsd:enumeration value="Borehole Log"/>
              <xsd:enumeration value="Stack Test"/>
              <xsd:enumeration value="Geotech Data"/>
              <xsd:enumeration value="Hydraulic Data"/>
            </xsd:restriction>
          </xsd:simpleType>
        </xsd:union>
      </xsd:simpleType>
    </xsd:element>
    <xsd:element name="Tag_x0020_1" ma:index="4" nillable="true" ma:displayName="Tag 1" ma:internalName="Tag_x0020_1" ma:readOnly="false">
      <xsd:simpleType>
        <xsd:restriction base="dms:Text">
          <xsd:maxLength value="255"/>
        </xsd:restriction>
      </xsd:simpleType>
    </xsd:element>
    <xsd:element name="Status" ma:index="5" nillable="true" ma:displayName="Status" ma:format="Dropdown" ma:internalName="Status" ma:readOnly="false">
      <xsd:simpleType>
        <xsd:restriction base="dms:Choice">
          <xsd:enumeration value="Draft"/>
          <xsd:enumeration value="Final"/>
          <xsd:enumeration value="Working"/>
        </xsd:restriction>
      </xsd:simpleType>
    </xsd:element>
  </xsd:schema>
  <xsd:schema xmlns:xsd="http://www.w3.org/2001/XMLSchema" xmlns:xs="http://www.w3.org/2001/XMLSchema" xmlns:dms="http://schemas.microsoft.com/office/2006/documentManagement/types" xmlns:pc="http://schemas.microsoft.com/office/infopath/2007/PartnerControls" targetNamespace="dc14dacb-a237-4e21-aa47-4ffab630ab7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uthor_x0020_Org_x002e_ xmlns="eb55e4a8-4b76-448e-92ea-ea5ace658981" xsi:nil="true"/>
    <Tag_x0020_1 xmlns="eb55e4a8-4b76-448e-92ea-ea5ace658981" xsi:nil="true"/>
    <Data_x0020_Type xmlns="eb55e4a8-4b76-448e-92ea-ea5ace658981">Report</Data_x0020_Type>
    <Status xmlns="eb55e4a8-4b76-448e-92ea-ea5ace658981" xsi:nil="true"/>
  </documentManagement>
</p:properties>
</file>

<file path=customXml/itemProps1.xml><?xml version="1.0" encoding="utf-8"?>
<ds:datastoreItem xmlns:ds="http://schemas.openxmlformats.org/officeDocument/2006/customXml" ds:itemID="{B0F5796F-B324-407F-8A66-4CB705584B73}"/>
</file>

<file path=customXml/itemProps2.xml><?xml version="1.0" encoding="utf-8"?>
<ds:datastoreItem xmlns:ds="http://schemas.openxmlformats.org/officeDocument/2006/customXml" ds:itemID="{CFA28E34-E9DD-47E2-9E9F-9C2861FB8771}"/>
</file>

<file path=customXml/itemProps3.xml><?xml version="1.0" encoding="utf-8"?>
<ds:datastoreItem xmlns:ds="http://schemas.openxmlformats.org/officeDocument/2006/customXml" ds:itemID="{3ABEF86A-695A-4A9A-AAD4-89BC64FE1D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Cheyne</dc:creator>
  <cp:keywords/>
  <dc:description/>
  <cp:lastModifiedBy/>
  <cp:revision/>
  <dcterms:created xsi:type="dcterms:W3CDTF">2020-05-15T14:52:15Z</dcterms:created>
  <dcterms:modified xsi:type="dcterms:W3CDTF">2020-09-18T15:42:37Z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0x010100FF6D638622362A49BB87502306C50E9B</vt:lpwstr>
  </property>
</Properties>
</file>